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tables/table1.xml" ContentType="application/vnd.openxmlformats-officedocument.spreadsheetml.table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amuel Rodriguez 9th\Documents\Materiales DiIgitales\"/>
    </mc:Choice>
  </mc:AlternateContent>
  <xr:revisionPtr revIDLastSave="0" documentId="13_ncr:1_{76102701-A440-4CC4-B4D9-D09EF19CC468}" xr6:coauthVersionLast="47" xr6:coauthVersionMax="47" xr10:uidLastSave="{00000000-0000-0000-0000-000000000000}"/>
  <workbookProtection workbookAlgorithmName="SHA-512" workbookHashValue="4IELUpQ8mRA3XoT02wCuFipCmbejj7WP1AJEqNdGnt++haiq7mZy1ggma9pI/jaZw2wpBQD70HSfDVUELM7/eg==" workbookSaltValue="VDK9uNpa34fti17GaobrPg==" workbookSpinCount="100000" lockStructure="1"/>
  <bookViews>
    <workbookView xWindow="-120" yWindow="-120" windowWidth="29040" windowHeight="15720" activeTab="2" xr2:uid="{00000000-000D-0000-FFFF-FFFF00000000}"/>
  </bookViews>
  <sheets>
    <sheet name="Problema" sheetId="9" r:id="rId1"/>
    <sheet name="Información" sheetId="10" r:id="rId2"/>
    <sheet name="Plantilla" sheetId="4" r:id="rId3"/>
    <sheet name="Somatotipo" sheetId="7" r:id="rId4"/>
    <sheet name="Grasa-Musculo" sheetId="8" r:id="rId5"/>
    <sheet name="Personas" sheetId="3" r:id="rId6"/>
    <sheet name="Tablas" sheetId="5" state="hidden" r:id="rId7"/>
  </sheets>
  <definedNames>
    <definedName name="altura">Plantilla!$D$16</definedName>
    <definedName name="_xlnm.Print_Area" localSheetId="4">'Grasa-Musculo'!$A$1:$V$38</definedName>
    <definedName name="_xlnm.Print_Area" localSheetId="2">Plantilla!$A$1:$N$34</definedName>
    <definedName name="Densidad">INDIRECT('Grasa-Musculo'!$E$8:$G$8)</definedName>
    <definedName name="dia">Plantilla!$D$23</definedName>
    <definedName name="Durnin">IF(genero="Hombre",HLOOKUP(edad,tablaDurnin,4,1),HLOOKUP(edad,tablaDurnin,2,1))-IF(genero="Hombre",HLOOKUP(edad,tablaDurnin,5,1),HLOOKUP(edad,tablaDurnin,3,1))*LOG10('Grasa-Musculo'!$G$12+'Grasa-Musculo'!$G$14+'Grasa-Musculo'!$G$15+'Grasa-Musculo'!$G$16)</definedName>
    <definedName name="edad">Plantilla!$G$5</definedName>
    <definedName name="ejercicio">Plantilla!$D$11</definedName>
    <definedName name="Energía">Plantilla!$D$13</definedName>
    <definedName name="estado">Plantilla!$K$23</definedName>
    <definedName name="genero">Plantilla!$G$15</definedName>
    <definedName name="grasaSiri">(4.95/Durnin-4.5)*100</definedName>
    <definedName name="Harris_Benedict">IF(genero="Hombre",66.5+13.75*peso+5*altura*100-6.75*edad, 665+9.46*peso+1.8*altura*100-4.675*edad)</definedName>
    <definedName name="imagenes">Tablas!$G$25:$K$26</definedName>
    <definedName name="imcDeseado">Plantilla!$C$7</definedName>
    <definedName name="imcReal">Plantilla!$E$7</definedName>
    <definedName name="imgEstado">IF(genero="Hombre",INDEX(imagenes,2,MATCH(Plantilla!$K$24,Tablas!$G$24:$K$24,0)),INDEX(imagenes,1,MATCH(Plantilla!$K$24,Tablas!$G$24:$K$24,0)))</definedName>
    <definedName name="ingesta">Plantilla!$G$7</definedName>
    <definedName name="Katch_McArdle">370+21.6*masaMagra</definedName>
    <definedName name="masaGrasa">Plantilla!$G$9</definedName>
    <definedName name="masaMagra">Plantilla!$G$11</definedName>
    <definedName name="mes">Plantilla!$H$23</definedName>
    <definedName name="Miffin_St.Jeor">IF(genero="Hombre",10*peso+6.25*altura*100-5*edad+5,10*peso+6.25*altura*100-5*edad-161)</definedName>
    <definedName name="OMS" comment="Formula para calcular la TMB de acuerdo con OMS">IF(genero="Hombre",VLOOKUP(edad,tablaOMS,2,1),VLOOKUP(edad,tablaOMS,3,1))</definedName>
    <definedName name="Persona">Plantilla!$C$4</definedName>
    <definedName name="peso">Plantilla!$C$16</definedName>
    <definedName name="pesoIdeal">Plantilla!$G$13</definedName>
    <definedName name="Pesona">Plantilla!$C$5</definedName>
    <definedName name="semana">Plantilla!$F$23</definedName>
    <definedName name="tablaDurnin">Tablas!$J$2:$N$6</definedName>
    <definedName name="tablaOMS">Tablas!$A$1:$C$7</definedName>
    <definedName name="tablaTMB">Tablas!$E$1:$F$5</definedName>
    <definedName name="tipo">Plantilla!$E$9</definedName>
    <definedName name="tmb">Plantilla!$D$9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9" i="8" l="1"/>
  <c r="C15" i="8"/>
  <c r="C14" i="8"/>
  <c r="C13" i="8"/>
  <c r="C12" i="8"/>
  <c r="C16" i="8"/>
  <c r="K4" i="8"/>
  <c r="D24" i="7"/>
  <c r="D23" i="7"/>
  <c r="D22" i="7"/>
  <c r="D21" i="7"/>
  <c r="D20" i="7"/>
  <c r="D13" i="7"/>
  <c r="D12" i="7"/>
  <c r="D11" i="7"/>
  <c r="D10" i="7"/>
  <c r="D5" i="7"/>
  <c r="G7" i="4"/>
  <c r="C7" i="4"/>
  <c r="D11" i="4"/>
  <c r="G15" i="4"/>
  <c r="D16" i="4"/>
  <c r="D9" i="7" s="1"/>
  <c r="C16" i="4"/>
  <c r="D18" i="4" s="1"/>
  <c r="G5" i="4"/>
  <c r="I16" i="5" s="1"/>
  <c r="I17" i="5" l="1"/>
  <c r="G23" i="8" a="1"/>
  <c r="G23" i="8" s="1"/>
  <c r="L16" i="8"/>
  <c r="L17" i="8"/>
  <c r="I15" i="5"/>
  <c r="G22" i="8" a="1"/>
  <c r="G22" i="8" s="1"/>
  <c r="L15" i="8" s="1"/>
  <c r="E7" i="4"/>
  <c r="K24" i="4" s="1"/>
  <c r="D31" i="7"/>
  <c r="G31" i="7" s="1"/>
  <c r="N34" i="8"/>
  <c r="N33" i="8"/>
  <c r="N25" i="8"/>
  <c r="N29" i="8"/>
  <c r="E10" i="8"/>
  <c r="G21" i="7"/>
  <c r="G22" i="7"/>
  <c r="G23" i="7"/>
  <c r="G24" i="7"/>
  <c r="G20" i="7"/>
  <c r="G10" i="7"/>
  <c r="G11" i="7"/>
  <c r="G12" i="7"/>
  <c r="G13" i="7"/>
  <c r="G9" i="7"/>
  <c r="H5" i="7"/>
  <c r="F5" i="7"/>
  <c r="E33" i="7" l="1"/>
  <c r="D15" i="7"/>
  <c r="E16" i="7" s="1"/>
  <c r="F17" i="7" s="1"/>
  <c r="D27" i="7"/>
  <c r="D26" i="7"/>
  <c r="G9" i="4"/>
  <c r="G11" i="4" s="1"/>
  <c r="G13" i="4" s="1"/>
  <c r="G14" i="4" s="1"/>
  <c r="L9" i="8"/>
  <c r="N9" i="8" s="1"/>
  <c r="G10" i="8"/>
  <c r="C10" i="8"/>
  <c r="F4" i="5"/>
  <c r="F2" i="5"/>
  <c r="D19" i="5"/>
  <c r="E14" i="5" s="1"/>
  <c r="C7" i="5"/>
  <c r="C6" i="5"/>
  <c r="C5" i="5"/>
  <c r="C3" i="5"/>
  <c r="C2" i="5"/>
  <c r="B7" i="5"/>
  <c r="B6" i="5"/>
  <c r="B5" i="5"/>
  <c r="B4" i="5"/>
  <c r="B3" i="5"/>
  <c r="B2" i="5"/>
  <c r="C4" i="5"/>
  <c r="F28" i="7" l="1"/>
  <c r="F35" i="7"/>
  <c r="F36" i="7"/>
  <c r="F3" i="5"/>
  <c r="D26" i="8"/>
  <c r="K22" i="8" s="1"/>
  <c r="N24" i="8"/>
  <c r="N27" i="8"/>
  <c r="N30" i="8" s="1"/>
  <c r="F5" i="5"/>
  <c r="D40" i="7"/>
  <c r="E17" i="5"/>
  <c r="I4" i="4"/>
  <c r="E15" i="5"/>
  <c r="E18" i="5"/>
  <c r="E16" i="5"/>
  <c r="F40" i="7" l="1"/>
  <c r="E42" i="7" s="1"/>
  <c r="D19" i="4"/>
  <c r="D29" i="4"/>
  <c r="D9" i="4"/>
  <c r="E40" i="7"/>
  <c r="D13" i="4" l="1"/>
  <c r="D23" i="4" s="1"/>
  <c r="D33" i="4"/>
  <c r="D21" i="4"/>
  <c r="D20" i="4"/>
  <c r="D31" i="4"/>
  <c r="E43" i="7"/>
  <c r="K23" i="4" l="1"/>
  <c r="G18" i="4"/>
  <c r="F23" i="4"/>
  <c r="G19" i="4" s="1"/>
  <c r="H23" i="4"/>
  <c r="G20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Samuel Rodriguez L.</author>
  </authors>
  <commentList>
    <comment ref="C4" authorId="0" shapeId="0" xr:uid="{FF7B3812-FD41-4A03-B6C6-C45A77E001BC}">
      <text>
        <r>
          <rPr>
            <b/>
            <sz val="9"/>
            <color indexed="81"/>
            <rFont val="Tahoma"/>
            <family val="2"/>
          </rPr>
          <t>Seleccionar Persona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<sst xmlns="http://schemas.openxmlformats.org/spreadsheetml/2006/main" count="266" uniqueCount="208">
  <si>
    <t>TMB</t>
  </si>
  <si>
    <t>MES</t>
  </si>
  <si>
    <t>SEMANA</t>
  </si>
  <si>
    <t>ESTADO</t>
  </si>
  <si>
    <t>DIA</t>
  </si>
  <si>
    <t>Nombre</t>
  </si>
  <si>
    <t>Genero</t>
  </si>
  <si>
    <t>Edad</t>
  </si>
  <si>
    <t>Peso</t>
  </si>
  <si>
    <t>Altura</t>
  </si>
  <si>
    <t>Consumo</t>
  </si>
  <si>
    <t>Jose Manuel Hernandez</t>
  </si>
  <si>
    <t>Hombre</t>
  </si>
  <si>
    <t>Peso Ideal</t>
  </si>
  <si>
    <t>Masa Grasa</t>
  </si>
  <si>
    <t>Ingesta</t>
  </si>
  <si>
    <t>IMC desado</t>
  </si>
  <si>
    <t>Ejercicio</t>
  </si>
  <si>
    <t>Manuel Herrera</t>
  </si>
  <si>
    <t>Bajo Peso</t>
  </si>
  <si>
    <t>Sobrepeso</t>
  </si>
  <si>
    <t>Bajo</t>
  </si>
  <si>
    <t>Normal</t>
  </si>
  <si>
    <t>Obesidad</t>
  </si>
  <si>
    <t>IMC</t>
  </si>
  <si>
    <t>Mujer</t>
  </si>
  <si>
    <t>Morbida</t>
  </si>
  <si>
    <t>COMPOSICIÓN CORPORAL</t>
  </si>
  <si>
    <t>Grafico de Barras</t>
  </si>
  <si>
    <t>Facultad de Deportes, Composición Corporal y Comportamiento del Peso de la persona, CopyRights, Mtro. Samuel Rodríguez Lucas</t>
  </si>
  <si>
    <t>OMS</t>
  </si>
  <si>
    <t>Masa Magra</t>
  </si>
  <si>
    <t>Larisa Barco</t>
  </si>
  <si>
    <t>Erly Garcia</t>
  </si>
  <si>
    <t>Carlos Giraldo</t>
  </si>
  <si>
    <t>Carlos Quintero</t>
  </si>
  <si>
    <t>Cadera</t>
  </si>
  <si>
    <t>Brazo</t>
  </si>
  <si>
    <t>Muslo</t>
  </si>
  <si>
    <t>Cintura</t>
  </si>
  <si>
    <t>Sobrepreso</t>
  </si>
  <si>
    <t>💪</t>
  </si>
  <si>
    <t>🗓</t>
  </si>
  <si>
    <t>Formula de nombre</t>
  </si>
  <si>
    <t>=si(genero="Hombre",indice(imagenes,2,coincidir(Estado!K24,Tablas!$G$23:$K$23,0)),indice(imagenes,1,coincidir(Estado!$K$24,Tablas!$G$23:$K$23,0)))</t>
  </si>
  <si>
    <t>Miffin_St.Jeor</t>
  </si>
  <si>
    <t>Katch_McArdle</t>
  </si>
  <si>
    <t>Tasa Metabolica</t>
  </si>
  <si>
    <t>Total</t>
  </si>
  <si>
    <t>Harris_Benedict</t>
  </si>
  <si>
    <t>Agua</t>
  </si>
  <si>
    <t>Calculo del somatotipo individual</t>
  </si>
  <si>
    <t>Nombe</t>
  </si>
  <si>
    <t>Sexo</t>
  </si>
  <si>
    <t>Toma 1</t>
  </si>
  <si>
    <t>Toma 2</t>
  </si>
  <si>
    <t>Toma 3</t>
  </si>
  <si>
    <t>Media</t>
  </si>
  <si>
    <t>Pliegue Subescapular (mm)</t>
  </si>
  <si>
    <t>Pliegue Suprailiaco(mm)</t>
  </si>
  <si>
    <t>Corrección de "X": X * (170.18 / Estatura)</t>
  </si>
  <si>
    <t>Suma de pliegues (X)</t>
  </si>
  <si>
    <t>Brazo contraido(cms)</t>
  </si>
  <si>
    <r>
      <rPr>
        <b/>
        <sz val="11"/>
        <color theme="1"/>
        <rFont val="Bahnschrift Condensed"/>
        <family val="2"/>
      </rPr>
      <t xml:space="preserve">Endomorfia: </t>
    </r>
    <r>
      <rPr>
        <sz val="11"/>
        <color theme="1"/>
        <rFont val="Bahnschrift Condensed"/>
        <family val="2"/>
      </rPr>
      <t>(-0.7182 + 0.1451 X  + 0.00068 X² + 0.0000014 X³):</t>
    </r>
  </si>
  <si>
    <t>Perimetro corregido del brazo (B)</t>
  </si>
  <si>
    <t xml:space="preserve"> = Per. Brazo - Pliegue Triceps en cm.</t>
  </si>
  <si>
    <t>Pliegue del Triceps (mm)</t>
  </si>
  <si>
    <r>
      <rPr>
        <b/>
        <sz val="11"/>
        <color theme="1"/>
        <rFont val="Bahnschrift Condensed"/>
        <family val="2"/>
      </rPr>
      <t>Mesomorfía:</t>
    </r>
    <r>
      <rPr>
        <sz val="11"/>
        <color theme="1"/>
        <rFont val="Bahnschrift Condensed"/>
        <family val="2"/>
      </rPr>
      <t xml:space="preserve"> (0.850 U + 0.601 F +0.188 B + 0.161 P - 0.131 H +4.5)</t>
    </r>
  </si>
  <si>
    <t>Estatura (H) (cms)</t>
  </si>
  <si>
    <t>Diametro Bicondileo Femur (F) (cm)</t>
  </si>
  <si>
    <t>Perimetro corregido de la pierna (P)</t>
  </si>
  <si>
    <t>=  Per. Pierna -Pliegue Pierna</t>
  </si>
  <si>
    <t>Peso (Kgs)</t>
  </si>
  <si>
    <t>Ectomorfía</t>
  </si>
  <si>
    <t>Si I.P &lt; 38.28 -&gt;</t>
  </si>
  <si>
    <t>Si I.P &gt; 40.75 -&gt;</t>
  </si>
  <si>
    <t>(I.P. *0.463)-17.63</t>
  </si>
  <si>
    <t>Valor Fijo</t>
  </si>
  <si>
    <t>Endo</t>
  </si>
  <si>
    <t>Meso</t>
  </si>
  <si>
    <t>Ecto</t>
  </si>
  <si>
    <t>X</t>
  </si>
  <si>
    <t>Y</t>
  </si>
  <si>
    <t xml:space="preserve">( Ectomorfía -Endomorfía ) = </t>
  </si>
  <si>
    <t xml:space="preserve">2 * Mesoforfia -( Ectomorfía +Endomorfía ) = </t>
  </si>
  <si>
    <t>Diametro Biepincondíleo Humero (U) (cm)</t>
  </si>
  <si>
    <t xml:space="preserve"> </t>
  </si>
  <si>
    <t>Indice Ponderal (I.P)=</t>
  </si>
  <si>
    <t>(I.P. *0.732)-28.58</t>
  </si>
  <si>
    <t>Tórax</t>
  </si>
  <si>
    <t>Antebrazo</t>
  </si>
  <si>
    <t>Musculo</t>
  </si>
  <si>
    <t>Pierna</t>
  </si>
  <si>
    <t>CIRCUNFERENCIAS</t>
  </si>
  <si>
    <t>Subescapular</t>
  </si>
  <si>
    <t>Pectoral</t>
  </si>
  <si>
    <t>Triceps</t>
  </si>
  <si>
    <t>Biceps</t>
  </si>
  <si>
    <t>Suprailiaco</t>
  </si>
  <si>
    <t>Supraespinal</t>
  </si>
  <si>
    <t>Indice C/C</t>
  </si>
  <si>
    <t>P L I E G U E S</t>
  </si>
  <si>
    <t>Lee-1</t>
  </si>
  <si>
    <t>Talla</t>
  </si>
  <si>
    <t>C</t>
  </si>
  <si>
    <t>M</t>
  </si>
  <si>
    <t>Const/Edad</t>
  </si>
  <si>
    <t>Grasa</t>
  </si>
  <si>
    <t>Densidad</t>
  </si>
  <si>
    <t>Ecuación para estimar musculo:</t>
  </si>
  <si>
    <t>Ecuación para estimar Grasa:</t>
  </si>
  <si>
    <t>Densidad= C-[M * Log(Biceps + Triceps + Sub. + Supra)]</t>
  </si>
  <si>
    <t>Ana Regio</t>
  </si>
  <si>
    <t>Links</t>
  </si>
  <si>
    <t>Evaluación Fisiologica</t>
  </si>
  <si>
    <t>Pliegue Biceps (mm)</t>
  </si>
  <si>
    <t>Rogelio Bravo</t>
  </si>
  <si>
    <t>Perimetros (Per.)  y Diametros (D.)</t>
  </si>
  <si>
    <t>Medias de Heath &amp;Carter</t>
  </si>
  <si>
    <t>Perimetro Pierna [Pantorrilla] (cms)</t>
  </si>
  <si>
    <t>Pligue de Pierna [pantorrilla] (mm)</t>
  </si>
  <si>
    <t>Persona</t>
  </si>
  <si>
    <t>Gasto Energético</t>
  </si>
  <si>
    <t>Conversión excedente de Energía de Kcal  a Gramos de Grasa</t>
  </si>
  <si>
    <t>Resultado</t>
  </si>
  <si>
    <t>Baja</t>
  </si>
  <si>
    <t>Moderada</t>
  </si>
  <si>
    <t>Alta</t>
  </si>
  <si>
    <t>Extrema</t>
  </si>
  <si>
    <t>Alto</t>
  </si>
  <si>
    <t>Rangos</t>
  </si>
  <si>
    <t>Endo/Meso/Ecto</t>
  </si>
  <si>
    <t>Baja Adiposidad relativa, poca grasa subcutanea y los contornos musculares son visibles.</t>
  </si>
  <si>
    <t>Moderada Adiposidad relativa, poca grasa subcutanea cubre  los contornos musculares y óseos. Son percibe una apriencia mas blanda.</t>
  </si>
  <si>
    <t>Alta Adiposidad relativa, la grasa subcutanea es abundante, se nota reondez en tronco y extremidades, hay mayor acumulacipin de grasa en el absomen.</t>
  </si>
  <si>
    <t xml:space="preserve">Extremadamentr alta Adiposidad relativa,Se se nota excesivamente acumulación de grasa subcutánea y grandes canditades de grasa abdominal en tronco, hay concentración de grasa proximal  en extremidades. </t>
  </si>
  <si>
    <t>Desarrollo músculo esqueletico relativo extremadamente alto, músculos muy voluminosos, esqueleto y articulaciones muy grandes.</t>
  </si>
  <si>
    <t xml:space="preserve">Linealidad Relativa moderada, menos volumen por unidad de altura, más estirado. </t>
  </si>
  <si>
    <t>Linealidad relativa gran volumen por unidad de altura, son aquellos individuos que se notan redondeos como una pelota, con extremidades relativamente voluminosas.</t>
  </si>
  <si>
    <t>Linealidad relativa moderada, poco volumen por unidad de altura.</t>
  </si>
  <si>
    <t>Caracteristicas</t>
  </si>
  <si>
    <t>Linealidad relativa extremadamente alta, muy estirado, son aquellos individuos delgados como un lápiz, volumen mínimo por unidad de altura.</t>
  </si>
  <si>
    <t>Endomorfía</t>
  </si>
  <si>
    <t>Mesomorfía</t>
  </si>
  <si>
    <t>Endomorfía:</t>
  </si>
  <si>
    <t>Mesomorfía:</t>
  </si>
  <si>
    <t>Ectomorfía:</t>
  </si>
  <si>
    <t>Expliación</t>
  </si>
  <si>
    <t>Alto desarrollo músculo esquelético relativo, diámetros óseos grandes, músculos de gran volumen, articulaciones grandes.</t>
  </si>
  <si>
    <t>Moderado desarrollo músculo esquelético relativo, ,mayor volumen muscular,. huesos y articulaciones de mayores dimensiones</t>
  </si>
  <si>
    <t>Bajo desarrollo músculo esquelético relativo, diámetros  óseos y musculares estrechos, Pequeños articulaciones en las extremidades.</t>
  </si>
  <si>
    <t>Rodrigo Pereyra</t>
  </si>
  <si>
    <t>Tabla constantes Durnin para 4 Pliegues</t>
  </si>
  <si>
    <t>%grasa=∑6 pliegues *0.1548 +3.5803  (Hombres)</t>
  </si>
  <si>
    <t>%grasa=∑6 pliegues *0.1051 +2.585  (Mujeres)</t>
  </si>
  <si>
    <r>
      <rPr>
        <b/>
        <sz val="11"/>
        <color theme="1"/>
        <rFont val="Bahnschrift Condensed"/>
        <family val="2"/>
      </rPr>
      <t xml:space="preserve">CMUS </t>
    </r>
    <r>
      <rPr>
        <sz val="11"/>
        <color theme="1"/>
        <rFont val="Bahnschrift Condensed"/>
        <family val="2"/>
      </rPr>
      <t>= Circunferencia de la región - PI() x Pliegue cutáneo/10</t>
    </r>
  </si>
  <si>
    <t>Formula 6 Pliegues (Triceps, Subescapular, Supraespinal, Abdominal, Muslo, Pierna)</t>
  </si>
  <si>
    <t>Abdominal</t>
  </si>
  <si>
    <t>Formula 3 Pliegues (Hombres: Pectoral, Abdomen, muslo.  Mujeres:  Triceps, Muslo, Cresta iliaca) Jackson Pollock</t>
  </si>
  <si>
    <t>Densidad Corporal</t>
  </si>
  <si>
    <t>Mujeres</t>
  </si>
  <si>
    <t>DC=1.10994921-(0.0009929 x ∑S)+(0.0000023 x ∑S²)-(0.0001392 x Edad)</t>
  </si>
  <si>
    <t>DC=1.10938-(0.0008267 x ∑S)+(0.0000016 x ∑S²)-(0.0002574 x Edad)</t>
  </si>
  <si>
    <t>Siri (1961)</t>
  </si>
  <si>
    <t>%Grasa= (4.95/DC-4.50) *100</t>
  </si>
  <si>
    <r>
      <t>AMBc=(Circunferencia Brazo- PI() x  Pliegue Triceps/10)</t>
    </r>
    <r>
      <rPr>
        <sz val="11"/>
        <color theme="1"/>
        <rFont val="Calibri"/>
        <family val="2"/>
      </rPr>
      <t>²/PI())-10</t>
    </r>
  </si>
  <si>
    <t>Ecuación de Heymsfield y cols.   MM = Talla (0,284 + 0,0029 x AMBc)</t>
  </si>
  <si>
    <r>
      <rPr>
        <b/>
        <sz val="11"/>
        <color theme="1"/>
        <rFont val="Bahnschrift Condensed"/>
        <family val="2"/>
      </rPr>
      <t xml:space="preserve">MM </t>
    </r>
    <r>
      <rPr>
        <sz val="11"/>
        <color theme="1"/>
        <rFont val="Bahnschrift Condensed"/>
        <family val="2"/>
      </rPr>
      <t>= T (0,00744 x CMUSbrazo² + 0,00088 x CMUSmuslo² + 0,00441 x CMUSpiema² ) + 2,4 x sexo - 0,048 x edad + raza + 7,8</t>
    </r>
  </si>
  <si>
    <t>SMU = CMUSbrazo + CAB + CMUSmuslo + CMUSpierna + CMUStórax</t>
  </si>
  <si>
    <t>Rosse y Kerr   ZMU = [(SMU (170,18/T) - 207,21]/13,74</t>
  </si>
  <si>
    <t>CMUS = Circunferencia de la región - pi() x Pliegue cutáneo/10</t>
  </si>
  <si>
    <t>MM = [(ZMU · 5,4) + 24,5]/(170,18/T)</t>
  </si>
  <si>
    <t>Ecuación de Faulkner</t>
  </si>
  <si>
    <r>
      <t>%grasa=(</t>
    </r>
    <r>
      <rPr>
        <sz val="11"/>
        <color theme="1"/>
        <rFont val="Calibri"/>
        <family val="2"/>
      </rPr>
      <t>∑4pliegues*0.213)+7.9</t>
    </r>
  </si>
  <si>
    <t>Hombres</t>
  </si>
  <si>
    <r>
      <t>%grasa=(</t>
    </r>
    <r>
      <rPr>
        <sz val="11"/>
        <color theme="1"/>
        <rFont val="Calibri"/>
        <family val="2"/>
      </rPr>
      <t>∑4pliegues*0.153)+5.783</t>
    </r>
  </si>
  <si>
    <t xml:space="preserve">     IMC Real</t>
  </si>
  <si>
    <t>Rango</t>
  </si>
  <si>
    <t>Pliegue
 Biceps</t>
  </si>
  <si>
    <t>Pliegue
 Triceps</t>
  </si>
  <si>
    <t>Pliegue
Subescapular</t>
  </si>
  <si>
    <t>Pliegue
Suprailiaco</t>
  </si>
  <si>
    <t>Pliegue
Supraespinal</t>
  </si>
  <si>
    <t>Pliegue
Pantorrilla</t>
  </si>
  <si>
    <t>Pliegues</t>
  </si>
  <si>
    <t>Perimetro
Cintura</t>
  </si>
  <si>
    <t>Perimetro 
Cadera</t>
  </si>
  <si>
    <t>Perimetro
Pierna</t>
  </si>
  <si>
    <t>Perimetro 
Pantorrilla</t>
  </si>
  <si>
    <t>Perimetro 
Torax</t>
  </si>
  <si>
    <t>Perimetro 
Muñeca</t>
  </si>
  <si>
    <t>Diámetro 
Humero</t>
  </si>
  <si>
    <t>Diámetro 
Femur</t>
  </si>
  <si>
    <t>Perimetro
Biceps
Contraido</t>
  </si>
  <si>
    <t>Perimetro
Biceps
Relajado</t>
  </si>
  <si>
    <t>Estatura</t>
  </si>
  <si>
    <t>Factor
ejercicio</t>
  </si>
  <si>
    <t xml:space="preserve">Objetivo
IMC </t>
  </si>
  <si>
    <t>Ingesta
Diaria</t>
  </si>
  <si>
    <t>Información</t>
  </si>
  <si>
    <t>Durnin</t>
  </si>
  <si>
    <t>Direrencia</t>
  </si>
  <si>
    <t>Estimación de Musculo y Grasa</t>
  </si>
  <si>
    <t>Durnin Densidad= C-[M * Log(Biceps + Triceps + Sub. + Supra)]</t>
  </si>
  <si>
    <t>No presenta</t>
  </si>
  <si>
    <t>No presenta un rango</t>
  </si>
  <si>
    <t>Si I.P.( &lt; 40.75 y &gt; 38.28 ) -&gt;</t>
  </si>
  <si>
    <t>Facultad de Deportes, Composición corporal y proyección del peso de la persona, Copyright, Mtro. Samuel Rodríguez Lucas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</si>
</sst>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-* #,##0.00_-;\-* #,##0.00_-;_-* &quot;-&quot;??_-;_-@_-"/>
    <numFmt numFmtId="164" formatCode="General\ &quot;kgs&quot;"/>
    <numFmt numFmtId="165" formatCode="General&quot;%&quot;"/>
    <numFmt numFmtId="166" formatCode="0.00\ &quot;mts&quot;"/>
    <numFmt numFmtId="167" formatCode="#,#00\ &quot;kcal&quot;"/>
    <numFmt numFmtId="168" formatCode="General\ &quot;años&quot;"/>
    <numFmt numFmtId="169" formatCode="_-* #,##0_-;\-* #,##0_-;_-* &quot;-&quot;??_-;_-@_-"/>
    <numFmt numFmtId="170" formatCode="0\ &quot;Años&quot;"/>
    <numFmt numFmtId="171" formatCode="0.00\ &quot;Kg&quot;"/>
    <numFmt numFmtId="172" formatCode="0.00\ &quot;Mts&quot;"/>
    <numFmt numFmtId="173" formatCode="0\ &quot;g&quot;"/>
    <numFmt numFmtId="174" formatCode="0\ &quot;Kcal&quot;"/>
    <numFmt numFmtId="175" formatCode="0.00\ &quot;%&quot;"/>
    <numFmt numFmtId="176" formatCode="0.00\ &quot;kg&quot;"/>
    <numFmt numFmtId="177" formatCode="0\ &quot;cm&quot;"/>
    <numFmt numFmtId="178" formatCode="0.0\ &quot;mm&quot;"/>
    <numFmt numFmtId="179" formatCode="0.0000"/>
    <numFmt numFmtId="180" formatCode="0.00\ &quot;cm&quot;"/>
    <numFmt numFmtId="181" formatCode="0.0\ &quot;mml&quot;"/>
    <numFmt numFmtId="182" formatCode="0.00\ &quot;Lts&quot;"/>
    <numFmt numFmtId="183" formatCode="[Green]&quot;▲&quot;\ \ 0.00\ &quot;kg&quot;;[Red]&quot;▼&quot;\ \ 0.00\ &quot;kg&quot;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9"/>
      <color theme="1"/>
      <name val="Arial"/>
      <family val="2"/>
    </font>
    <font>
      <b/>
      <sz val="16"/>
      <color rgb="FF7030A0"/>
      <name val="Cambria"/>
      <family val="1"/>
      <scheme val="maj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theme="0"/>
      <name val="Arial Narrow"/>
      <family val="2"/>
    </font>
    <font>
      <sz val="11"/>
      <color theme="0"/>
      <name val="Bahnschrift"/>
      <family val="2"/>
    </font>
    <font>
      <sz val="11"/>
      <color theme="1"/>
      <name val="Arial Rounded MT Bold"/>
      <family val="2"/>
    </font>
    <font>
      <sz val="11"/>
      <color theme="1"/>
      <name val="Bahnschrift"/>
      <family val="2"/>
    </font>
    <font>
      <sz val="11"/>
      <color theme="1"/>
      <name val="Bahnschrift Condensed"/>
      <family val="2"/>
    </font>
    <font>
      <sz val="11"/>
      <color theme="0"/>
      <name val="Bahnschrift Condensed"/>
      <family val="2"/>
    </font>
    <font>
      <sz val="11"/>
      <color rgb="FF7030A0"/>
      <name val="Bahnschrift"/>
      <family val="2"/>
    </font>
    <font>
      <b/>
      <sz val="11"/>
      <color theme="0"/>
      <name val="Bahnschrift Condensed"/>
      <family val="2"/>
    </font>
    <font>
      <b/>
      <sz val="11"/>
      <color theme="0"/>
      <name val="Bahnschrift"/>
      <family val="2"/>
    </font>
    <font>
      <sz val="11"/>
      <color theme="1"/>
      <name val="Bahnschrift Light Condensed"/>
      <family val="2"/>
    </font>
    <font>
      <sz val="11"/>
      <color rgb="FFFFC000"/>
      <name val="Bahnschrift Light Condensed"/>
      <family val="2"/>
    </font>
    <font>
      <sz val="11"/>
      <color rgb="FFFFC000"/>
      <name val="Calibri"/>
      <family val="2"/>
      <scheme val="minor"/>
    </font>
    <font>
      <b/>
      <sz val="11"/>
      <color rgb="FFFFC000"/>
      <name val="Bahnschrift Condensed"/>
      <family val="2"/>
    </font>
    <font>
      <b/>
      <sz val="14"/>
      <color rgb="FF00610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Bahnschrift Condensed"/>
      <family val="2"/>
    </font>
    <font>
      <b/>
      <sz val="11"/>
      <color theme="1"/>
      <name val="Arial Rounded MT Bold"/>
      <family val="2"/>
    </font>
    <font>
      <b/>
      <sz val="11"/>
      <color theme="1"/>
      <name val="Bahnschrift"/>
      <family val="2"/>
    </font>
    <font>
      <sz val="11"/>
      <color theme="1"/>
      <name val="Bahnschrift SemiBold"/>
      <family val="2"/>
    </font>
    <font>
      <sz val="14"/>
      <color theme="1"/>
      <name val="Arial Rounded MT Bold"/>
      <family val="2"/>
    </font>
    <font>
      <sz val="11"/>
      <name val="Bahnschrift Light Condensed"/>
      <family val="2"/>
    </font>
    <font>
      <sz val="14"/>
      <color theme="1"/>
      <name val="Bahnschrift Condensed"/>
      <family val="2"/>
    </font>
    <font>
      <sz val="14"/>
      <color theme="1"/>
      <name val="Calibri"/>
      <family val="2"/>
      <scheme val="minor"/>
    </font>
    <font>
      <sz val="14"/>
      <color theme="1"/>
      <name val="Impact"/>
      <family val="2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z val="11"/>
      <color rgb="FF7030A0"/>
      <name val="Bahnschrift Light Condensed"/>
      <family val="2"/>
    </font>
    <font>
      <sz val="11"/>
      <color rgb="FF00B050"/>
      <name val="Bahnschrift SemiBold"/>
      <family val="2"/>
    </font>
    <font>
      <sz val="11"/>
      <color rgb="FF0070C0"/>
      <name val="Bahnschrift SemiBold"/>
      <family val="2"/>
    </font>
    <font>
      <sz val="11"/>
      <color rgb="FF7030A0"/>
      <name val="Bahnschrift SemiBold"/>
      <family val="2"/>
    </font>
    <font>
      <sz val="11"/>
      <color rgb="FF008000"/>
      <name val="Bahnschrift Light Condensed"/>
      <family val="2"/>
    </font>
    <font>
      <sz val="11"/>
      <color rgb="FF002060"/>
      <name val="Bahnschrift Light Condensed"/>
      <family val="2"/>
    </font>
    <font>
      <b/>
      <sz val="11"/>
      <color theme="1"/>
      <name val="Bahnschrift Light Condensed"/>
      <family val="2"/>
    </font>
    <font>
      <sz val="12"/>
      <color rgb="FFFFC000"/>
      <name val="Calibri"/>
      <family val="2"/>
      <scheme val="minor"/>
    </font>
    <font>
      <sz val="12"/>
      <color rgb="FFFFC000"/>
      <name val="Bahnschrift"/>
      <family val="2"/>
    </font>
    <font>
      <sz val="14"/>
      <color rgb="FFFFC000"/>
      <name val="Calibri"/>
      <family val="2"/>
      <scheme val="minor"/>
    </font>
    <font>
      <b/>
      <sz val="11"/>
      <color rgb="FF92D050"/>
      <name val="Arial Rounded MT Bold"/>
      <family val="2"/>
    </font>
    <font>
      <b/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1"/>
      <name val="Bahnschrift Condensed"/>
      <family val="2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rgb="FFFFC000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 tint="0.499984740745262"/>
      <name val="Bahnschrift"/>
      <family val="2"/>
    </font>
    <font>
      <b/>
      <sz val="12"/>
      <color theme="1" tint="0.499984740745262"/>
      <name val="Calibri"/>
      <family val="2"/>
      <scheme val="minor"/>
    </font>
    <font>
      <sz val="12"/>
      <color theme="1" tint="0.499984740745262"/>
      <name val="Calibri"/>
      <family val="2"/>
      <scheme val="minor"/>
    </font>
    <font>
      <b/>
      <sz val="11"/>
      <color theme="1" tint="0.499984740745262"/>
      <name val="Bahnschrift Condensed"/>
      <family val="2"/>
    </font>
    <font>
      <sz val="11"/>
      <color theme="1" tint="0.499984740745262"/>
      <name val="Bahnschrift Light Condensed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D5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rgb="FFFFC000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/>
      <bottom style="thin">
        <color rgb="FFFFC000"/>
      </bottom>
      <diagonal/>
    </border>
    <border>
      <left style="medium">
        <color rgb="FFFFC000"/>
      </left>
      <right/>
      <top style="medium">
        <color rgb="FFFFC000"/>
      </top>
      <bottom/>
      <diagonal/>
    </border>
    <border>
      <left/>
      <right/>
      <top style="medium">
        <color rgb="FFFFC000"/>
      </top>
      <bottom/>
      <diagonal/>
    </border>
    <border>
      <left/>
      <right style="medium">
        <color rgb="FFFFC000"/>
      </right>
      <top style="medium">
        <color rgb="FFFFC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C000"/>
      </left>
      <right style="thin">
        <color rgb="FFFFC000"/>
      </right>
      <top/>
      <bottom style="thin">
        <color rgb="FFFFC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rgb="FF0070C0"/>
      </bottom>
      <diagonal/>
    </border>
    <border>
      <left/>
      <right/>
      <top/>
      <bottom style="thin">
        <color rgb="FF0070C0"/>
      </bottom>
      <diagonal/>
    </border>
    <border>
      <left style="thin">
        <color rgb="FF0070C0"/>
      </left>
      <right/>
      <top/>
      <bottom style="thin">
        <color rgb="FF0070C0"/>
      </bottom>
      <diagonal/>
    </border>
    <border>
      <left style="thin">
        <color rgb="FF0070C0"/>
      </left>
      <right/>
      <top/>
      <bottom/>
      <diagonal/>
    </border>
    <border>
      <left style="thin">
        <color theme="4"/>
      </left>
      <right style="thin">
        <color theme="0" tint="-0.499984740745262"/>
      </right>
      <top style="thin">
        <color theme="4"/>
      </top>
      <bottom style="thin">
        <color theme="0" tint="-0.499984740745262"/>
      </bottom>
      <diagonal/>
    </border>
    <border>
      <left style="thin">
        <color theme="4"/>
      </left>
      <right/>
      <top style="thin">
        <color theme="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4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1" applyNumberFormat="0" applyFill="0" applyAlignment="0" applyProtection="0"/>
    <xf numFmtId="0" fontId="10" fillId="7" borderId="0" applyNumberFormat="0" applyBorder="0" applyAlignment="0" applyProtection="0"/>
    <xf numFmtId="0" fontId="36" fillId="0" borderId="0" applyNumberFormat="0" applyFill="0" applyBorder="0" applyAlignment="0" applyProtection="0"/>
  </cellStyleXfs>
  <cellXfs count="219">
    <xf numFmtId="0" fontId="0" fillId="0" borderId="0" xfId="0"/>
    <xf numFmtId="0" fontId="0" fillId="2" borderId="0" xfId="0" applyFill="1"/>
    <xf numFmtId="0" fontId="6" fillId="0" borderId="0" xfId="0" applyFont="1"/>
    <xf numFmtId="0" fontId="8" fillId="0" borderId="0" xfId="2" applyFont="1" applyBorder="1" applyAlignment="1">
      <alignment horizontal="center"/>
    </xf>
    <xf numFmtId="164" fontId="8" fillId="0" borderId="0" xfId="2" applyNumberFormat="1" applyFont="1" applyBorder="1" applyAlignment="1">
      <alignment horizontal="center"/>
    </xf>
    <xf numFmtId="165" fontId="8" fillId="0" borderId="0" xfId="2" applyNumberFormat="1" applyFont="1" applyBorder="1" applyAlignment="1">
      <alignment horizontal="center"/>
    </xf>
    <xf numFmtId="166" fontId="8" fillId="0" borderId="0" xfId="2" applyNumberFormat="1" applyFont="1" applyBorder="1" applyAlignment="1">
      <alignment horizontal="center"/>
    </xf>
    <xf numFmtId="166" fontId="0" fillId="0" borderId="0" xfId="0" applyNumberFormat="1"/>
    <xf numFmtId="164" fontId="0" fillId="0" borderId="0" xfId="0" applyNumberFormat="1"/>
    <xf numFmtId="167" fontId="8" fillId="0" borderId="0" xfId="2" applyNumberFormat="1" applyFont="1" applyBorder="1" applyAlignment="1">
      <alignment horizontal="center"/>
    </xf>
    <xf numFmtId="167" fontId="0" fillId="0" borderId="0" xfId="0" applyNumberFormat="1"/>
    <xf numFmtId="168" fontId="8" fillId="0" borderId="0" xfId="2" applyNumberFormat="1" applyFont="1" applyBorder="1" applyAlignment="1">
      <alignment horizontal="center"/>
    </xf>
    <xf numFmtId="168" fontId="0" fillId="0" borderId="0" xfId="0" applyNumberFormat="1"/>
    <xf numFmtId="0" fontId="16" fillId="0" borderId="0" xfId="0" applyFont="1" applyAlignment="1">
      <alignment horizontal="right"/>
    </xf>
    <xf numFmtId="0" fontId="12" fillId="10" borderId="0" xfId="0" applyFont="1" applyFill="1" applyAlignment="1">
      <alignment horizontal="center"/>
    </xf>
    <xf numFmtId="0" fontId="0" fillId="0" borderId="5" xfId="0" applyBorder="1"/>
    <xf numFmtId="0" fontId="0" fillId="0" borderId="3" xfId="0" applyBorder="1" applyAlignment="1">
      <alignment horizontal="center"/>
    </xf>
    <xf numFmtId="169" fontId="0" fillId="0" borderId="3" xfId="1" applyNumberFormat="1" applyFont="1" applyBorder="1" applyAlignment="1">
      <alignment horizontal="center"/>
    </xf>
    <xf numFmtId="0" fontId="0" fillId="0" borderId="3" xfId="0" applyBorder="1"/>
    <xf numFmtId="0" fontId="0" fillId="0" borderId="3" xfId="1" applyNumberFormat="1" applyFont="1" applyFill="1" applyBorder="1"/>
    <xf numFmtId="0" fontId="23" fillId="10" borderId="3" xfId="0" applyFont="1" applyFill="1" applyBorder="1"/>
    <xf numFmtId="0" fontId="23" fillId="10" borderId="3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3" xfId="0" applyFont="1" applyBorder="1"/>
    <xf numFmtId="0" fontId="0" fillId="0" borderId="8" xfId="0" applyBorder="1"/>
    <xf numFmtId="0" fontId="0" fillId="0" borderId="0" xfId="0" applyAlignment="1">
      <alignment horizontal="right"/>
    </xf>
    <xf numFmtId="0" fontId="26" fillId="0" borderId="0" xfId="0" applyFont="1"/>
    <xf numFmtId="0" fontId="16" fillId="0" borderId="3" xfId="0" applyFont="1" applyBorder="1" applyAlignment="1">
      <alignment horizontal="right"/>
    </xf>
    <xf numFmtId="0" fontId="16" fillId="0" borderId="0" xfId="0" applyFont="1"/>
    <xf numFmtId="0" fontId="16" fillId="0" borderId="0" xfId="0" quotePrefix="1" applyFont="1"/>
    <xf numFmtId="0" fontId="16" fillId="0" borderId="0" xfId="0" quotePrefix="1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right"/>
    </xf>
    <xf numFmtId="0" fontId="27" fillId="0" borderId="0" xfId="0" applyFont="1" applyAlignment="1">
      <alignment horizontal="right"/>
    </xf>
    <xf numFmtId="0" fontId="8" fillId="0" borderId="0" xfId="0" quotePrefix="1" applyFont="1"/>
    <xf numFmtId="0" fontId="14" fillId="0" borderId="8" xfId="0" applyFont="1" applyBorder="1"/>
    <xf numFmtId="43" fontId="14" fillId="0" borderId="8" xfId="1" applyFont="1" applyBorder="1"/>
    <xf numFmtId="43" fontId="28" fillId="0" borderId="8" xfId="0" applyNumberFormat="1" applyFont="1" applyBorder="1"/>
    <xf numFmtId="43" fontId="28" fillId="0" borderId="3" xfId="0" applyNumberFormat="1" applyFont="1" applyBorder="1" applyAlignment="1">
      <alignment horizontal="center" vertical="center"/>
    </xf>
    <xf numFmtId="43" fontId="28" fillId="0" borderId="3" xfId="1" applyFont="1" applyBorder="1" applyAlignment="1">
      <alignment horizontal="center" vertical="center"/>
    </xf>
    <xf numFmtId="43" fontId="29" fillId="0" borderId="3" xfId="0" applyNumberFormat="1" applyFont="1" applyBorder="1" applyAlignment="1">
      <alignment horizontal="center"/>
    </xf>
    <xf numFmtId="0" fontId="29" fillId="5" borderId="9" xfId="0" applyFont="1" applyFill="1" applyBorder="1" applyAlignment="1">
      <alignment horizontal="center"/>
    </xf>
    <xf numFmtId="0" fontId="29" fillId="5" borderId="10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/>
    </xf>
    <xf numFmtId="0" fontId="29" fillId="5" borderId="3" xfId="0" applyFont="1" applyFill="1" applyBorder="1" applyAlignment="1">
      <alignment horizontal="center"/>
    </xf>
    <xf numFmtId="43" fontId="0" fillId="0" borderId="0" xfId="0" applyNumberFormat="1"/>
    <xf numFmtId="0" fontId="21" fillId="11" borderId="7" xfId="0" applyFont="1" applyFill="1" applyBorder="1"/>
    <xf numFmtId="0" fontId="21" fillId="11" borderId="3" xfId="0" applyFont="1" applyFill="1" applyBorder="1"/>
    <xf numFmtId="0" fontId="21" fillId="0" borderId="3" xfId="0" applyFont="1" applyBorder="1"/>
    <xf numFmtId="0" fontId="16" fillId="0" borderId="8" xfId="0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0" fillId="0" borderId="0" xfId="0" applyAlignment="1">
      <alignment horizontal="right" vertical="center"/>
    </xf>
    <xf numFmtId="0" fontId="16" fillId="0" borderId="0" xfId="0" applyFont="1" applyAlignment="1">
      <alignment horizontal="right" vertical="center"/>
    </xf>
    <xf numFmtId="0" fontId="3" fillId="0" borderId="0" xfId="0" applyFont="1" applyAlignment="1">
      <alignment horizontal="left" vertical="center"/>
    </xf>
    <xf numFmtId="176" fontId="14" fillId="0" borderId="8" xfId="0" applyNumberFormat="1" applyFont="1" applyBorder="1"/>
    <xf numFmtId="166" fontId="14" fillId="0" borderId="8" xfId="0" applyNumberFormat="1" applyFont="1" applyBorder="1"/>
    <xf numFmtId="177" fontId="15" fillId="8" borderId="3" xfId="0" applyNumberFormat="1" applyFont="1" applyFill="1" applyBorder="1" applyAlignment="1">
      <alignment horizontal="center" vertical="center"/>
    </xf>
    <xf numFmtId="170" fontId="9" fillId="0" borderId="3" xfId="0" applyNumberFormat="1" applyFont="1" applyBorder="1" applyAlignment="1">
      <alignment vertical="center"/>
    </xf>
    <xf numFmtId="0" fontId="21" fillId="3" borderId="3" xfId="0" applyFont="1" applyFill="1" applyBorder="1" applyAlignment="1">
      <alignment horizontal="center"/>
    </xf>
    <xf numFmtId="179" fontId="21" fillId="3" borderId="3" xfId="0" applyNumberFormat="1" applyFont="1" applyFill="1" applyBorder="1"/>
    <xf numFmtId="0" fontId="32" fillId="9" borderId="3" xfId="0" applyFont="1" applyFill="1" applyBorder="1" applyAlignment="1">
      <alignment horizontal="center"/>
    </xf>
    <xf numFmtId="179" fontId="32" fillId="9" borderId="3" xfId="0" applyNumberFormat="1" applyFont="1" applyFill="1" applyBorder="1"/>
    <xf numFmtId="0" fontId="31" fillId="0" borderId="0" xfId="0" applyFont="1" applyAlignment="1">
      <alignment horizontal="right" vertical="center"/>
    </xf>
    <xf numFmtId="0" fontId="0" fillId="0" borderId="0" xfId="0" applyAlignment="1">
      <alignment horizontal="right" indent="1"/>
    </xf>
    <xf numFmtId="0" fontId="34" fillId="0" borderId="0" xfId="0" applyFont="1" applyAlignment="1">
      <alignment horizontal="right" vertical="center" indent="1"/>
    </xf>
    <xf numFmtId="0" fontId="35" fillId="0" borderId="8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171" fontId="35" fillId="0" borderId="8" xfId="0" applyNumberFormat="1" applyFont="1" applyBorder="1" applyAlignment="1">
      <alignment horizontal="center" vertical="center"/>
    </xf>
    <xf numFmtId="175" fontId="35" fillId="0" borderId="8" xfId="1" applyNumberFormat="1" applyFont="1" applyBorder="1" applyAlignment="1">
      <alignment horizontal="center" vertical="center"/>
    </xf>
    <xf numFmtId="178" fontId="14" fillId="0" borderId="8" xfId="0" applyNumberFormat="1" applyFont="1" applyBorder="1"/>
    <xf numFmtId="180" fontId="0" fillId="0" borderId="0" xfId="0" applyNumberFormat="1"/>
    <xf numFmtId="0" fontId="37" fillId="0" borderId="0" xfId="4" applyFont="1"/>
    <xf numFmtId="181" fontId="0" fillId="0" borderId="0" xfId="0" applyNumberFormat="1"/>
    <xf numFmtId="178" fontId="15" fillId="8" borderId="3" xfId="0" applyNumberFormat="1" applyFont="1" applyFill="1" applyBorder="1" applyAlignment="1">
      <alignment horizontal="center" vertical="center"/>
    </xf>
    <xf numFmtId="0" fontId="16" fillId="0" borderId="12" xfId="0" applyFont="1" applyBorder="1"/>
    <xf numFmtId="0" fontId="27" fillId="12" borderId="14" xfId="0" applyFont="1" applyFill="1" applyBorder="1" applyAlignment="1">
      <alignment horizontal="center"/>
    </xf>
    <xf numFmtId="0" fontId="27" fillId="5" borderId="14" xfId="0" applyFont="1" applyFill="1" applyBorder="1" applyAlignment="1">
      <alignment horizontal="center"/>
    </xf>
    <xf numFmtId="0" fontId="19" fillId="6" borderId="17" xfId="0" applyFont="1" applyFill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16" fillId="0" borderId="12" xfId="0" applyFont="1" applyBorder="1" applyAlignment="1">
      <alignment horizontal="center" vertical="center"/>
    </xf>
    <xf numFmtId="0" fontId="3" fillId="0" borderId="0" xfId="0" applyFont="1"/>
    <xf numFmtId="180" fontId="21" fillId="11" borderId="7" xfId="0" applyNumberFormat="1" applyFont="1" applyFill="1" applyBorder="1" applyAlignment="1">
      <alignment horizontal="center"/>
    </xf>
    <xf numFmtId="180" fontId="21" fillId="11" borderId="3" xfId="0" applyNumberFormat="1" applyFont="1" applyFill="1" applyBorder="1" applyAlignment="1">
      <alignment horizontal="center"/>
    </xf>
    <xf numFmtId="180" fontId="44" fillId="0" borderId="3" xfId="0" applyNumberFormat="1" applyFont="1" applyBorder="1" applyAlignment="1">
      <alignment horizontal="center"/>
    </xf>
    <xf numFmtId="0" fontId="21" fillId="11" borderId="7" xfId="0" applyFont="1" applyFill="1" applyBorder="1" applyAlignment="1">
      <alignment horizontal="center"/>
    </xf>
    <xf numFmtId="0" fontId="21" fillId="11" borderId="3" xfId="0" applyFont="1" applyFill="1" applyBorder="1" applyAlignment="1">
      <alignment horizontal="center"/>
    </xf>
    <xf numFmtId="0" fontId="44" fillId="0" borderId="3" xfId="0" applyFont="1" applyBorder="1" applyAlignment="1">
      <alignment horizontal="center"/>
    </xf>
    <xf numFmtId="178" fontId="21" fillId="11" borderId="7" xfId="0" applyNumberFormat="1" applyFont="1" applyFill="1" applyBorder="1" applyAlignment="1">
      <alignment horizontal="center"/>
    </xf>
    <xf numFmtId="178" fontId="21" fillId="11" borderId="3" xfId="0" applyNumberFormat="1" applyFont="1" applyFill="1" applyBorder="1" applyAlignment="1">
      <alignment horizontal="center"/>
    </xf>
    <xf numFmtId="178" fontId="44" fillId="0" borderId="3" xfId="0" applyNumberFormat="1" applyFont="1" applyBorder="1" applyAlignment="1">
      <alignment horizontal="center"/>
    </xf>
    <xf numFmtId="178" fontId="0" fillId="0" borderId="0" xfId="0" applyNumberFormat="1"/>
    <xf numFmtId="0" fontId="27" fillId="0" borderId="0" xfId="0" applyFont="1"/>
    <xf numFmtId="43" fontId="9" fillId="0" borderId="0" xfId="1" applyFont="1"/>
    <xf numFmtId="0" fontId="9" fillId="0" borderId="0" xfId="0" quotePrefix="1" applyFont="1"/>
    <xf numFmtId="0" fontId="21" fillId="0" borderId="0" xfId="0" quotePrefix="1" applyFont="1"/>
    <xf numFmtId="0" fontId="48" fillId="10" borderId="0" xfId="0" applyFont="1" applyFill="1" applyAlignment="1">
      <alignment horizontal="center"/>
    </xf>
    <xf numFmtId="43" fontId="29" fillId="0" borderId="0" xfId="0" applyNumberFormat="1" applyFont="1" applyAlignment="1">
      <alignment horizontal="center"/>
    </xf>
    <xf numFmtId="0" fontId="29" fillId="0" borderId="0" xfId="0" applyFont="1"/>
    <xf numFmtId="0" fontId="29" fillId="0" borderId="3" xfId="0" applyFont="1" applyBorder="1" applyAlignment="1">
      <alignment horizontal="center"/>
    </xf>
    <xf numFmtId="0" fontId="49" fillId="0" borderId="13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9" fillId="0" borderId="0" xfId="0" applyFont="1" applyAlignment="1">
      <alignment horizontal="left"/>
    </xf>
    <xf numFmtId="0" fontId="8" fillId="0" borderId="0" xfId="2" applyFont="1" applyBorder="1" applyAlignment="1">
      <alignment horizontal="left"/>
    </xf>
    <xf numFmtId="0" fontId="50" fillId="0" borderId="0" xfId="2" applyFont="1" applyBorder="1" applyAlignment="1">
      <alignment horizontal="left"/>
    </xf>
    <xf numFmtId="0" fontId="16" fillId="0" borderId="14" xfId="0" applyFont="1" applyBorder="1" applyAlignment="1">
      <alignment horizontal="center"/>
    </xf>
    <xf numFmtId="0" fontId="54" fillId="0" borderId="0" xfId="0" applyFont="1"/>
    <xf numFmtId="166" fontId="9" fillId="4" borderId="0" xfId="2" applyNumberFormat="1" applyFont="1" applyFill="1" applyBorder="1" applyAlignment="1">
      <alignment horizontal="center"/>
    </xf>
    <xf numFmtId="0" fontId="9" fillId="4" borderId="0" xfId="2" applyFont="1" applyFill="1" applyBorder="1" applyAlignment="1">
      <alignment horizontal="center" wrapText="1"/>
    </xf>
    <xf numFmtId="167" fontId="9" fillId="4" borderId="0" xfId="2" applyNumberFormat="1" applyFont="1" applyFill="1" applyBorder="1" applyAlignment="1">
      <alignment horizontal="center" wrapText="1"/>
    </xf>
    <xf numFmtId="181" fontId="9" fillId="4" borderId="0" xfId="2" applyNumberFormat="1" applyFont="1" applyFill="1" applyBorder="1" applyAlignment="1">
      <alignment horizontal="center" wrapText="1"/>
    </xf>
    <xf numFmtId="180" fontId="9" fillId="4" borderId="0" xfId="2" applyNumberFormat="1" applyFont="1" applyFill="1" applyBorder="1" applyAlignment="1">
      <alignment horizontal="center" wrapText="1"/>
    </xf>
    <xf numFmtId="0" fontId="9" fillId="4" borderId="0" xfId="2" applyFont="1" applyFill="1" applyBorder="1" applyAlignment="1">
      <alignment horizontal="left"/>
    </xf>
    <xf numFmtId="168" fontId="9" fillId="4" borderId="0" xfId="2" applyNumberFormat="1" applyFont="1" applyFill="1" applyBorder="1" applyAlignment="1">
      <alignment horizontal="center"/>
    </xf>
    <xf numFmtId="164" fontId="9" fillId="4" borderId="0" xfId="2" applyNumberFormat="1" applyFont="1" applyFill="1" applyBorder="1" applyAlignment="1">
      <alignment horizontal="center"/>
    </xf>
    <xf numFmtId="181" fontId="8" fillId="0" borderId="0" xfId="2" applyNumberFormat="1" applyFont="1" applyBorder="1" applyAlignment="1">
      <alignment horizontal="center"/>
    </xf>
    <xf numFmtId="180" fontId="8" fillId="0" borderId="0" xfId="2" applyNumberFormat="1" applyFont="1" applyFill="1" applyBorder="1" applyAlignment="1">
      <alignment horizontal="center"/>
    </xf>
    <xf numFmtId="0" fontId="50" fillId="2" borderId="14" xfId="2" applyFont="1" applyFill="1" applyBorder="1" applyAlignment="1">
      <alignment horizontal="left"/>
    </xf>
    <xf numFmtId="0" fontId="8" fillId="2" borderId="15" xfId="2" applyFont="1" applyFill="1" applyBorder="1" applyAlignment="1">
      <alignment horizontal="left"/>
    </xf>
    <xf numFmtId="168" fontId="8" fillId="2" borderId="15" xfId="2" applyNumberFormat="1" applyFont="1" applyFill="1" applyBorder="1" applyAlignment="1">
      <alignment horizontal="center"/>
    </xf>
    <xf numFmtId="164" fontId="8" fillId="2" borderId="15" xfId="2" applyNumberFormat="1" applyFont="1" applyFill="1" applyBorder="1" applyAlignment="1">
      <alignment horizontal="center"/>
    </xf>
    <xf numFmtId="166" fontId="8" fillId="2" borderId="15" xfId="2" applyNumberFormat="1" applyFont="1" applyFill="1" applyBorder="1" applyAlignment="1">
      <alignment horizontal="center"/>
    </xf>
    <xf numFmtId="0" fontId="8" fillId="2" borderId="15" xfId="2" applyFont="1" applyFill="1" applyBorder="1" applyAlignment="1">
      <alignment horizontal="center"/>
    </xf>
    <xf numFmtId="165" fontId="8" fillId="2" borderId="15" xfId="2" applyNumberFormat="1" applyFont="1" applyFill="1" applyBorder="1" applyAlignment="1">
      <alignment horizontal="center"/>
    </xf>
    <xf numFmtId="167" fontId="8" fillId="2" borderId="15" xfId="2" applyNumberFormat="1" applyFont="1" applyFill="1" applyBorder="1" applyAlignment="1">
      <alignment horizontal="center"/>
    </xf>
    <xf numFmtId="181" fontId="3" fillId="2" borderId="15" xfId="2" applyNumberFormat="1" applyFont="1" applyFill="1" applyBorder="1" applyAlignment="1">
      <alignment horizontal="center"/>
    </xf>
    <xf numFmtId="180" fontId="8" fillId="2" borderId="15" xfId="2" applyNumberFormat="1" applyFont="1" applyFill="1" applyBorder="1" applyAlignment="1">
      <alignment horizontal="center"/>
    </xf>
    <xf numFmtId="180" fontId="8" fillId="2" borderId="16" xfId="2" applyNumberFormat="1" applyFont="1" applyFill="1" applyBorder="1" applyAlignment="1">
      <alignment horizontal="center"/>
    </xf>
    <xf numFmtId="180" fontId="8" fillId="0" borderId="0" xfId="0" applyNumberFormat="1" applyFont="1" applyAlignment="1">
      <alignment horizontal="center"/>
    </xf>
    <xf numFmtId="0" fontId="9" fillId="4" borderId="1" xfId="0" applyFont="1" applyFill="1" applyBorder="1" applyAlignment="1">
      <alignment horizontal="center"/>
    </xf>
    <xf numFmtId="14" fontId="0" fillId="0" borderId="0" xfId="0" applyNumberFormat="1"/>
    <xf numFmtId="17" fontId="0" fillId="0" borderId="0" xfId="0" applyNumberFormat="1"/>
    <xf numFmtId="174" fontId="18" fillId="0" borderId="3" xfId="0" applyNumberFormat="1" applyFont="1" applyBorder="1"/>
    <xf numFmtId="0" fontId="20" fillId="0" borderId="5" xfId="0" applyFont="1" applyBorder="1" applyAlignment="1">
      <alignment horizontal="right"/>
    </xf>
    <xf numFmtId="0" fontId="20" fillId="0" borderId="5" xfId="0" applyFont="1" applyBorder="1"/>
    <xf numFmtId="0" fontId="17" fillId="0" borderId="4" xfId="0" applyFont="1" applyBorder="1" applyAlignment="1">
      <alignment horizontal="right"/>
    </xf>
    <xf numFmtId="0" fontId="17" fillId="0" borderId="6" xfId="0" applyFont="1" applyBorder="1" applyAlignment="1">
      <alignment horizontal="right"/>
    </xf>
    <xf numFmtId="0" fontId="0" fillId="0" borderId="6" xfId="0" applyBorder="1"/>
    <xf numFmtId="0" fontId="24" fillId="0" borderId="8" xfId="0" applyFont="1" applyBorder="1" applyAlignment="1" applyProtection="1">
      <alignment horizontal="center"/>
      <protection locked="0"/>
    </xf>
    <xf numFmtId="175" fontId="18" fillId="0" borderId="23" xfId="0" applyNumberFormat="1" applyFont="1" applyBorder="1" applyAlignment="1">
      <alignment horizontal="center"/>
    </xf>
    <xf numFmtId="174" fontId="18" fillId="0" borderId="23" xfId="0" applyNumberFormat="1" applyFont="1" applyBorder="1"/>
    <xf numFmtId="171" fontId="18" fillId="0" borderId="23" xfId="0" applyNumberFormat="1" applyFont="1" applyBorder="1" applyAlignment="1">
      <alignment horizontal="center"/>
    </xf>
    <xf numFmtId="182" fontId="18" fillId="0" borderId="23" xfId="0" applyNumberFormat="1" applyFont="1" applyBorder="1"/>
    <xf numFmtId="173" fontId="18" fillId="0" borderId="23" xfId="0" applyNumberFormat="1" applyFont="1" applyBorder="1" applyAlignment="1">
      <alignment horizontal="center"/>
    </xf>
    <xf numFmtId="170" fontId="59" fillId="0" borderId="23" xfId="0" applyNumberFormat="1" applyFont="1" applyBorder="1" applyAlignment="1">
      <alignment horizontal="center"/>
    </xf>
    <xf numFmtId="174" fontId="59" fillId="0" borderId="23" xfId="0" applyNumberFormat="1" applyFont="1" applyBorder="1" applyAlignment="1">
      <alignment horizontal="center"/>
    </xf>
    <xf numFmtId="175" fontId="59" fillId="0" borderId="23" xfId="0" applyNumberFormat="1" applyFont="1" applyBorder="1" applyAlignment="1">
      <alignment horizontal="center"/>
    </xf>
    <xf numFmtId="171" fontId="59" fillId="0" borderId="23" xfId="0" applyNumberFormat="1" applyFont="1" applyBorder="1"/>
    <xf numFmtId="172" fontId="59" fillId="0" borderId="23" xfId="0" applyNumberFormat="1" applyFont="1" applyBorder="1"/>
    <xf numFmtId="0" fontId="59" fillId="0" borderId="23" xfId="0" applyFont="1" applyBorder="1" applyAlignment="1">
      <alignment horizontal="center"/>
    </xf>
    <xf numFmtId="0" fontId="59" fillId="0" borderId="23" xfId="0" applyFont="1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43" fontId="11" fillId="0" borderId="0" xfId="0" applyNumberFormat="1" applyFont="1"/>
    <xf numFmtId="0" fontId="0" fillId="0" borderId="0" xfId="0" applyAlignment="1">
      <alignment horizontal="center" vertical="top"/>
    </xf>
    <xf numFmtId="0" fontId="2" fillId="0" borderId="0" xfId="0" applyFont="1" applyAlignment="1">
      <alignment horizontal="center" vertical="top"/>
    </xf>
    <xf numFmtId="0" fontId="0" fillId="0" borderId="30" xfId="0" applyBorder="1"/>
    <xf numFmtId="0" fontId="16" fillId="0" borderId="29" xfId="0" applyFont="1" applyBorder="1"/>
    <xf numFmtId="0" fontId="27" fillId="0" borderId="29" xfId="0" applyFont="1" applyBorder="1" applyAlignment="1">
      <alignment horizontal="right"/>
    </xf>
    <xf numFmtId="0" fontId="45" fillId="0" borderId="0" xfId="0" applyFont="1"/>
    <xf numFmtId="0" fontId="0" fillId="0" borderId="29" xfId="0" applyBorder="1"/>
    <xf numFmtId="0" fontId="19" fillId="0" borderId="0" xfId="0" applyFont="1" applyAlignment="1">
      <alignment horizontal="right"/>
    </xf>
    <xf numFmtId="0" fontId="45" fillId="0" borderId="0" xfId="0" applyFont="1" applyAlignment="1">
      <alignment horizontal="center" vertical="center"/>
    </xf>
    <xf numFmtId="0" fontId="46" fillId="0" borderId="0" xfId="0" applyFont="1"/>
    <xf numFmtId="0" fontId="5" fillId="0" borderId="29" xfId="0" applyFont="1" applyBorder="1" applyAlignment="1">
      <alignment horizontal="right"/>
    </xf>
    <xf numFmtId="0" fontId="47" fillId="0" borderId="0" xfId="0" applyFont="1"/>
    <xf numFmtId="183" fontId="56" fillId="0" borderId="0" xfId="0" applyNumberFormat="1" applyFont="1" applyAlignment="1">
      <alignment horizontal="center" vertical="center"/>
    </xf>
    <xf numFmtId="0" fontId="3" fillId="0" borderId="29" xfId="0" applyFont="1" applyBorder="1" applyAlignment="1">
      <alignment horizontal="right"/>
    </xf>
    <xf numFmtId="0" fontId="27" fillId="0" borderId="0" xfId="0" applyFont="1" applyAlignment="1">
      <alignment horizontal="center"/>
    </xf>
    <xf numFmtId="0" fontId="45" fillId="0" borderId="0" xfId="0" applyFont="1" applyAlignment="1">
      <alignment horizontal="left" vertical="center"/>
    </xf>
    <xf numFmtId="0" fontId="23" fillId="0" borderId="0" xfId="0" applyFont="1"/>
    <xf numFmtId="176" fontId="13" fillId="0" borderId="0" xfId="0" applyNumberFormat="1" applyFont="1"/>
    <xf numFmtId="0" fontId="22" fillId="0" borderId="0" xfId="0" applyFont="1"/>
    <xf numFmtId="0" fontId="0" fillId="0" borderId="32" xfId="0" applyBorder="1"/>
    <xf numFmtId="0" fontId="0" fillId="0" borderId="33" xfId="0" applyBorder="1"/>
    <xf numFmtId="0" fontId="60" fillId="0" borderId="0" xfId="0" applyFont="1"/>
    <xf numFmtId="0" fontId="61" fillId="13" borderId="0" xfId="0" applyFont="1" applyFill="1" applyAlignment="1">
      <alignment horizontal="center" vertical="center"/>
    </xf>
    <xf numFmtId="0" fontId="62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63" fillId="0" borderId="0" xfId="0" applyFont="1"/>
    <xf numFmtId="0" fontId="40" fillId="2" borderId="0" xfId="0" applyFont="1" applyFill="1" applyAlignment="1">
      <alignment horizontal="center" vertical="center"/>
    </xf>
    <xf numFmtId="0" fontId="38" fillId="2" borderId="18" xfId="0" applyFont="1" applyFill="1" applyBorder="1" applyAlignment="1">
      <alignment horizontal="left" vertical="center" wrapText="1"/>
    </xf>
    <xf numFmtId="0" fontId="38" fillId="2" borderId="0" xfId="0" applyFont="1" applyFill="1" applyAlignment="1">
      <alignment horizontal="left" vertical="center" wrapText="1"/>
    </xf>
    <xf numFmtId="0" fontId="38" fillId="2" borderId="19" xfId="0" applyFont="1" applyFill="1" applyBorder="1" applyAlignment="1">
      <alignment horizontal="left" vertical="center" wrapText="1"/>
    </xf>
    <xf numFmtId="0" fontId="38" fillId="2" borderId="20" xfId="0" applyFont="1" applyFill="1" applyBorder="1" applyAlignment="1">
      <alignment horizontal="left" vertical="center" wrapText="1"/>
    </xf>
    <xf numFmtId="0" fontId="42" fillId="2" borderId="0" xfId="0" applyFont="1" applyFill="1" applyAlignment="1">
      <alignment horizontal="left" vertical="center" wrapText="1"/>
    </xf>
    <xf numFmtId="0" fontId="43" fillId="2" borderId="22" xfId="0" applyFont="1" applyFill="1" applyBorder="1" applyAlignment="1">
      <alignment horizontal="left" vertical="center" wrapText="1"/>
    </xf>
    <xf numFmtId="0" fontId="43" fillId="2" borderId="0" xfId="0" applyFont="1" applyFill="1" applyAlignment="1">
      <alignment horizontal="left" vertical="center" wrapText="1"/>
    </xf>
    <xf numFmtId="0" fontId="43" fillId="2" borderId="21" xfId="0" applyFont="1" applyFill="1" applyBorder="1" applyAlignment="1">
      <alignment horizontal="left" vertical="center" wrapText="1"/>
    </xf>
    <xf numFmtId="0" fontId="43" fillId="2" borderId="20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25" xfId="0" applyFont="1" applyBorder="1" applyAlignment="1">
      <alignment horizontal="center"/>
    </xf>
    <xf numFmtId="0" fontId="41" fillId="2" borderId="0" xfId="0" applyFont="1" applyFill="1" applyAlignment="1">
      <alignment horizontal="center" vertical="center"/>
    </xf>
    <xf numFmtId="0" fontId="39" fillId="2" borderId="0" xfId="0" applyFont="1" applyFill="1" applyAlignment="1">
      <alignment horizontal="center" vertical="center"/>
    </xf>
    <xf numFmtId="0" fontId="12" fillId="10" borderId="0" xfId="0" applyFont="1" applyFill="1" applyAlignment="1">
      <alignment horizontal="center"/>
    </xf>
    <xf numFmtId="173" fontId="18" fillId="0" borderId="24" xfId="0" applyNumberFormat="1" applyFont="1" applyBorder="1" applyAlignment="1">
      <alignment horizontal="center"/>
    </xf>
    <xf numFmtId="173" fontId="18" fillId="0" borderId="25" xfId="0" applyNumberFormat="1" applyFont="1" applyBorder="1" applyAlignment="1">
      <alignment horizontal="center"/>
    </xf>
    <xf numFmtId="0" fontId="13" fillId="0" borderId="0" xfId="0" applyFont="1" applyAlignment="1">
      <alignment horizontal="center"/>
    </xf>
    <xf numFmtId="0" fontId="5" fillId="0" borderId="29" xfId="0" applyFont="1" applyBorder="1" applyAlignment="1">
      <alignment horizontal="center"/>
    </xf>
    <xf numFmtId="0" fontId="5" fillId="0" borderId="31" xfId="0" applyFont="1" applyBorder="1" applyAlignment="1">
      <alignment horizontal="center"/>
    </xf>
    <xf numFmtId="0" fontId="51" fillId="4" borderId="0" xfId="0" applyFont="1" applyFill="1" applyAlignment="1">
      <alignment horizontal="center"/>
    </xf>
    <xf numFmtId="0" fontId="52" fillId="13" borderId="0" xfId="0" applyFont="1" applyFill="1" applyAlignment="1" applyProtection="1">
      <alignment horizontal="center" vertical="center" wrapText="1"/>
      <protection locked="0"/>
    </xf>
    <xf numFmtId="0" fontId="52" fillId="13" borderId="2" xfId="0" applyFont="1" applyFill="1" applyBorder="1" applyAlignment="1" applyProtection="1">
      <alignment horizontal="center" vertical="center" wrapText="1"/>
      <protection locked="0"/>
    </xf>
    <xf numFmtId="0" fontId="19" fillId="0" borderId="29" xfId="0" applyFont="1" applyBorder="1" applyAlignment="1">
      <alignment horizontal="right" vertical="center"/>
    </xf>
    <xf numFmtId="0" fontId="25" fillId="7" borderId="0" xfId="3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3" fillId="5" borderId="0" xfId="0" applyFont="1" applyFill="1" applyAlignment="1">
      <alignment horizontal="left"/>
    </xf>
    <xf numFmtId="0" fontId="33" fillId="0" borderId="0" xfId="0" applyFont="1" applyAlignment="1">
      <alignment horizontal="right" vertical="center" indent="1"/>
    </xf>
    <xf numFmtId="0" fontId="31" fillId="0" borderId="8" xfId="0" applyFont="1" applyBorder="1" applyAlignment="1">
      <alignment horizontal="center" vertical="center"/>
    </xf>
    <xf numFmtId="0" fontId="30" fillId="0" borderId="0" xfId="0" applyFont="1" applyAlignment="1">
      <alignment horizontal="right" vertical="center" textRotation="90"/>
    </xf>
    <xf numFmtId="180" fontId="50" fillId="5" borderId="0" xfId="0" applyNumberFormat="1" applyFont="1" applyFill="1" applyAlignment="1">
      <alignment horizontal="center"/>
    </xf>
    <xf numFmtId="181" fontId="9" fillId="4" borderId="0" xfId="0" applyNumberFormat="1" applyFont="1" applyFill="1" applyAlignment="1">
      <alignment horizontal="center"/>
    </xf>
    <xf numFmtId="0" fontId="16" fillId="0" borderId="14" xfId="0" applyFont="1" applyBorder="1" applyAlignment="1">
      <alignment horizontal="center"/>
    </xf>
    <xf numFmtId="0" fontId="16" fillId="0" borderId="15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27" fillId="12" borderId="14" xfId="0" applyFont="1" applyFill="1" applyBorder="1" applyAlignment="1">
      <alignment horizontal="center"/>
    </xf>
    <xf numFmtId="0" fontId="27" fillId="12" borderId="16" xfId="0" applyFont="1" applyFill="1" applyBorder="1" applyAlignment="1">
      <alignment horizontal="center"/>
    </xf>
  </cellXfs>
  <cellStyles count="5">
    <cellStyle name="Bueno" xfId="3" builtinId="26"/>
    <cellStyle name="Celda vinculada" xfId="2" builtinId="24"/>
    <cellStyle name="Hipervínculo" xfId="4" builtinId="8"/>
    <cellStyle name="Millares" xfId="1" builtinId="3"/>
    <cellStyle name="Normal" xfId="0" builtinId="0"/>
  </cellStyles>
  <dxfs count="42">
    <dxf>
      <font>
        <b/>
        <i val="0"/>
        <color rgb="FF008000"/>
      </font>
      <numFmt numFmtId="184" formatCode="&quot;◄&quot;;&quot;◄&quot;;&quot;◄&quot;;"/>
    </dxf>
    <dxf>
      <font>
        <color rgb="FF7030A0"/>
      </font>
      <numFmt numFmtId="184" formatCode="&quot;◄&quot;;&quot;◄&quot;;&quot;◄&quot;;"/>
    </dxf>
    <dxf>
      <font>
        <b/>
        <i val="0"/>
        <color rgb="FF008000"/>
      </font>
      <numFmt numFmtId="184" formatCode="&quot;◄&quot;;&quot;◄&quot;;&quot;◄&quot;;"/>
    </dxf>
    <dxf>
      <font>
        <color rgb="FF7030A0"/>
      </font>
      <numFmt numFmtId="184" formatCode="&quot;◄&quot;;&quot;◄&quot;;&quot;◄&quot;;"/>
    </dxf>
    <dxf>
      <font>
        <b/>
        <i val="0"/>
        <color rgb="FF0070C0"/>
      </font>
      <numFmt numFmtId="184" formatCode="&quot;◄&quot;;&quot;◄&quot;;&quot;◄&quot;;"/>
    </dxf>
    <dxf>
      <font>
        <b/>
        <i val="0"/>
        <color rgb="FFFF00FF"/>
      </font>
      <numFmt numFmtId="184" formatCode="&quot;◄&quot;;&quot;◄&quot;;&quot;◄&quot;;"/>
    </dxf>
    <dxf>
      <font>
        <b/>
        <i val="0"/>
        <color rgb="FFC00000"/>
      </font>
      <numFmt numFmtId="184" formatCode="&quot;◄&quot;;&quot;◄&quot;;&quot;◄&quot;;"/>
    </dxf>
    <dxf>
      <font>
        <b/>
        <i val="0"/>
        <color rgb="FFFF00FF"/>
      </font>
      <numFmt numFmtId="184" formatCode="&quot;◄&quot;;&quot;◄&quot;;&quot;◄&quot;;"/>
    </dxf>
    <dxf>
      <font>
        <b/>
        <i val="0"/>
        <color rgb="FF0070C0"/>
      </font>
      <numFmt numFmtId="184" formatCode="&quot;◄&quot;;&quot;◄&quot;;&quot;◄&quot;;"/>
    </dxf>
    <dxf>
      <font>
        <b/>
        <i val="0"/>
        <color rgb="FFC00000"/>
      </font>
      <numFmt numFmtId="184" formatCode="&quot;◄&quot;;&quot;◄&quot;;&quot;◄&quot;;"/>
    </dxf>
    <dxf>
      <font>
        <color rgb="FF7030A0"/>
      </font>
      <numFmt numFmtId="184" formatCode="&quot;◄&quot;;&quot;◄&quot;;&quot;◄&quot;;"/>
    </dxf>
    <dxf>
      <font>
        <b/>
        <i val="0"/>
        <color rgb="FF008000"/>
      </font>
      <numFmt numFmtId="184" formatCode="&quot;◄&quot;;&quot;◄&quot;;&quot;◄&quot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80" formatCode="0.00\ &quot;cm&quot;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80" formatCode="0.00\ &quot;cm&quot;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80" formatCode="0.00\ &quot;cm&quot;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80" formatCode="0.00\ &quot;cm&quot;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80" formatCode="0.00\ &quot;cm&quot;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80" formatCode="0.00\ &quot;cm&quot;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80" formatCode="0.00\ &quot;cm&quot;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80" formatCode="0.00\ &quot;cm&quot;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80" formatCode="0.00\ &quot;cm&quot;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80" formatCode="0.00\ &quot;cm&quot;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80" formatCode="0.00\ &quot;cm&quot;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80" formatCode="0.00\ &quot;cm&quot;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81" formatCode="0.0\ &quot;mml&quot;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81" formatCode="0.0\ &quot;mml&quot;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81" formatCode="0.0\ &quot;mml&quot;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81" formatCode="0.0\ &quot;mml&quot;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81" formatCode="0.0\ &quot;mml&quot;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81" formatCode="0.0\ &quot;mml&quot;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#,#00\ &quot;kcal&quot;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General&quot;%&quot;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0.00\ &quot;mts&quot;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General\ &quot;kgs&quot;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8" formatCode="General\ &quot;años&quot;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indent="0" justifyLastLine="0" shrinkToFit="0" readingOrder="0"/>
    </dxf>
    <dxf>
      <border outline="0">
        <bottom style="double">
          <color rgb="FFFF80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border outline="0">
        <bottom style="double">
          <color rgb="FFFF80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bottom" textRotation="0" wrapText="0" indent="0" justifyLastLine="0" shrinkToFit="0" readingOrder="0"/>
    </dxf>
  </dxfs>
  <tableStyles count="0" defaultTableStyle="TableStyleMedium9" defaultPivotStyle="PivotStyleLight16"/>
  <colors>
    <mruColors>
      <color rgb="FF700000"/>
      <color rgb="FFC0E399"/>
      <color rgb="FF008000"/>
      <color rgb="FF0000CC"/>
      <color rgb="FFD3B5E9"/>
      <color rgb="FF1085A0"/>
      <color rgb="FFFFD5FF"/>
      <color rgb="FF99CCFF"/>
      <color rgb="FFFF00FF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image" Target="../media/image2.pn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image" Target="../media/image2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992408557625949E-2"/>
          <c:y val="4.8588787175260814E-2"/>
          <c:w val="0.84397732892084143"/>
          <c:h val="0.88510676030041768"/>
        </c:manualLayout>
      </c:layout>
      <c:scatterChart>
        <c:scatterStyle val="lineMarker"/>
        <c:varyColors val="0"/>
        <c:ser>
          <c:idx val="0"/>
          <c:order val="0"/>
          <c:tx>
            <c:v>Zona</c:v>
          </c:tx>
          <c:spPr>
            <a:ln w="25400" cap="rnd">
              <a:noFill/>
              <a:round/>
            </a:ln>
            <a:effectLst>
              <a:innerShdw blurRad="114300">
                <a:srgbClr val="FFC000"/>
              </a:innerShdw>
            </a:effectLst>
          </c:spPr>
          <c:marker>
            <c:symbol val="square"/>
            <c:size val="12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25400">
                <a:noFill/>
              </a:ln>
              <a:effectLst>
                <a:innerShdw blurRad="114300">
                  <a:srgbClr val="FFC000"/>
                </a:innerShdw>
              </a:effectLst>
            </c:spPr>
          </c:marker>
          <c:xVal>
            <c:numRef>
              <c:f>Somatotipo!$E$42</c:f>
              <c:numCache>
                <c:formatCode>_(* #,##0.00_);_(* \(#,##0.00\);_(* "-"??_);_(@_)</c:formatCode>
                <c:ptCount val="1"/>
                <c:pt idx="0">
                  <c:v>-3.2790125187932597</c:v>
                </c:pt>
              </c:numCache>
            </c:numRef>
          </c:xVal>
          <c:yVal>
            <c:numRef>
              <c:f>Somatotipo!$E$43</c:f>
              <c:numCache>
                <c:formatCode>_(* #,##0.00_);_(* \(#,##0.00\);_(* "-"??_);_(@_)</c:formatCode>
                <c:ptCount val="1"/>
                <c:pt idx="0">
                  <c:v>2.8748543618591986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088-4055-92E2-CC75176DA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938816"/>
        <c:axId val="841939232"/>
      </c:scatterChart>
      <c:valAx>
        <c:axId val="841938816"/>
        <c:scaling>
          <c:orientation val="minMax"/>
          <c:max val="8"/>
          <c:min val="-8"/>
        </c:scaling>
        <c:delete val="1"/>
        <c:axPos val="b"/>
        <c:numFmt formatCode="#,##0" sourceLinked="0"/>
        <c:majorTickMark val="in"/>
        <c:minorTickMark val="none"/>
        <c:tickLblPos val="low"/>
        <c:crossAx val="841939232"/>
        <c:crossesAt val="-10"/>
        <c:crossBetween val="midCat"/>
        <c:majorUnit val="1"/>
        <c:minorUnit val="0.1"/>
      </c:valAx>
      <c:valAx>
        <c:axId val="841939232"/>
        <c:scaling>
          <c:orientation val="minMax"/>
          <c:max val="16"/>
          <c:min val="-10"/>
        </c:scaling>
        <c:delete val="1"/>
        <c:axPos val="l"/>
        <c:numFmt formatCode="#,##0" sourceLinked="0"/>
        <c:majorTickMark val="out"/>
        <c:minorTickMark val="none"/>
        <c:tickLblPos val="high"/>
        <c:crossAx val="841938816"/>
        <c:crossesAt val="8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 paperSize="9" orientation="landscape" horizontalDpi="300" verticalDpi="300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206203133591545E-2"/>
          <c:y val="0.20831899018878436"/>
          <c:w val="0.91558759373281695"/>
          <c:h val="0.65396562288953874"/>
        </c:manualLayout>
      </c:layout>
      <c:barChart>
        <c:barDir val="bar"/>
        <c:grouping val="stacked"/>
        <c:varyColors val="0"/>
        <c:ser>
          <c:idx val="0"/>
          <c:order val="1"/>
          <c:tx>
            <c:v>BajoPeso</c:v>
          </c:tx>
          <c:spPr>
            <a:gradFill>
              <a:gsLst>
                <a:gs pos="85000">
                  <a:srgbClr val="0070C0"/>
                </a:gs>
                <a:gs pos="98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ln w="44450" cap="rnd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2619321824795112E-2"/>
                  <c:y val="-5.8759945642561846E-17"/>
                </c:manualLayout>
              </c:layout>
              <c:tx>
                <c:rich>
                  <a:bodyPr/>
                  <a:lstStyle/>
                  <a:p>
                    <a:fld id="{72E8C03F-1BC2-424C-BAED-EF7785E3D07A}" type="CELLRANGE">
                      <a:rPr lang="en-US"/>
                      <a:pPr/>
                      <a:t>[CELLRANGE]</a:t>
                    </a:fld>
                    <a:r>
                      <a:rPr lang="en-US"/>
                      <a:t> Peso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08EA-4446-A4C8-4761566FD9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val>
            <c:numRef>
              <c:f>Tablas!$C$14</c:f>
              <c:numCache>
                <c:formatCode>General</c:formatCode>
                <c:ptCount val="1"/>
                <c:pt idx="0">
                  <c:v>0.36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Tablas!$A$14:$A$17</c15:f>
                <c15:dlblRangeCache>
                  <c:ptCount val="4"/>
                  <c:pt idx="0">
                    <c:v>Bajo</c:v>
                  </c:pt>
                  <c:pt idx="1">
                    <c:v>Normal</c:v>
                  </c:pt>
                  <c:pt idx="2">
                    <c:v>Sobrepeso</c:v>
                  </c:pt>
                  <c:pt idx="3">
                    <c:v>Obesidad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08EA-4446-A4C8-4761566FD9BD}"/>
            </c:ext>
          </c:extLst>
        </c:ser>
        <c:ser>
          <c:idx val="1"/>
          <c:order val="2"/>
          <c:tx>
            <c:v>Normal</c:v>
          </c:tx>
          <c:spPr>
            <a:gradFill>
              <a:gsLst>
                <a:gs pos="84000">
                  <a:srgbClr val="309730"/>
                </a:gs>
                <a:gs pos="29000">
                  <a:srgbClr val="008000"/>
                </a:gs>
                <a:gs pos="98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3154830456198851E-2"/>
                  <c:y val="0"/>
                </c:manualLayout>
              </c:layout>
              <c:tx>
                <c:rich>
                  <a:bodyPr/>
                  <a:lstStyle/>
                  <a:p>
                    <a:fld id="{C63193C4-8430-4D88-B0F5-4D00D3301C93}" type="CELLRANGE">
                      <a:rPr lang="en-US"/>
                      <a:pPr/>
                      <a:t>[CELLRANGE]</a:t>
                    </a:fld>
                    <a:endParaRPr lang="es-MX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08EA-4446-A4C8-4761566FD9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val>
            <c:numRef>
              <c:f>Tablas!$C$15</c:f>
              <c:numCache>
                <c:formatCode>General</c:formatCode>
                <c:ptCount val="1"/>
                <c:pt idx="0">
                  <c:v>0.14000000000000001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Tablas!$A$15</c15:f>
                <c15:dlblRangeCache>
                  <c:ptCount val="1"/>
                  <c:pt idx="0">
                    <c:v>Normal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08EA-4446-A4C8-4761566FD9BD}"/>
            </c:ext>
          </c:extLst>
        </c:ser>
        <c:ser>
          <c:idx val="2"/>
          <c:order val="3"/>
          <c:tx>
            <c:v>sobrepeso</c:v>
          </c:tx>
          <c:spPr>
            <a:gradFill>
              <a:gsLst>
                <a:gs pos="70000">
                  <a:srgbClr val="FFC000"/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70000">
                    <a:srgbClr val="FFC0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8EA-4446-A4C8-4761566FD9BD}"/>
              </c:ext>
            </c:extLst>
          </c:dPt>
          <c:dLbls>
            <c:dLbl>
              <c:idx val="0"/>
              <c:layout>
                <c:manualLayout>
                  <c:x val="-2.3154678521615735E-2"/>
                  <c:y val="-1.2100952141730181E-2"/>
                </c:manualLayout>
              </c:layout>
              <c:tx>
                <c:rich>
                  <a:bodyPr rot="-5400000" spcFirstLastPara="1" vertOverflow="ellipsis" wrap="square" anchor="ctr" anchorCtr="1"/>
                  <a:lstStyle/>
                  <a:p>
                    <a:pPr>
                      <a:defRPr sz="8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C70BE51-CD7B-4B3F-844C-AE02A854197D}" type="CELLRANGE">
                      <a:rPr lang="en-US"/>
                      <a:pPr>
                        <a:defRPr sz="800" b="1"/>
                      </a:pPr>
                      <a:t>[CELLRANGE]</a:t>
                    </a:fld>
                    <a:endParaRPr lang="es-MX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anchor="ctr" anchorCtr="1"/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354545426920981"/>
                      <c:h val="0.32348877917062413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08EA-4446-A4C8-4761566FD9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val>
            <c:numRef>
              <c:f>Tablas!$C$16</c:f>
              <c:numCache>
                <c:formatCode>General</c:formatCode>
                <c:ptCount val="1"/>
                <c:pt idx="0">
                  <c:v>0.1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Tablas!$A$16</c15:f>
                <c15:dlblRangeCache>
                  <c:ptCount val="1"/>
                  <c:pt idx="0">
                    <c:v>Sobrepeso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08EA-4446-A4C8-4761566FD9BD}"/>
            </c:ext>
          </c:extLst>
        </c:ser>
        <c:ser>
          <c:idx val="3"/>
          <c:order val="4"/>
          <c:tx>
            <c:v>Obsidad</c:v>
          </c:tx>
          <c:spPr>
            <a:gradFill>
              <a:gsLst>
                <a:gs pos="79000">
                  <a:srgbClr val="FF3300"/>
                </a:gs>
                <a:gs pos="98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79000">
                    <a:srgbClr val="FF3300"/>
                  </a:gs>
                  <a:gs pos="98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08EA-4446-A4C8-4761566FD9BD}"/>
              </c:ext>
            </c:extLst>
          </c:dPt>
          <c:dLbls>
            <c:dLbl>
              <c:idx val="0"/>
              <c:layout>
                <c:manualLayout>
                  <c:x val="-5.0168951256347141E-2"/>
                  <c:y val="-5.0563396312315101E-2"/>
                </c:manualLayout>
              </c:layout>
              <c:tx>
                <c:rich>
                  <a:bodyPr rot="-5400000" spcFirstLastPara="1" vertOverflow="ellipsis" wrap="square" anchor="ctr" anchorCtr="1"/>
                  <a:lstStyle/>
                  <a:p>
                    <a:pPr>
                      <a:defRPr sz="9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641DAE9-7F89-4DB5-BCD2-379C5C4BC802}" type="CELLRANGE">
                      <a:rPr lang="en-US" b="1">
                        <a:solidFill>
                          <a:schemeClr val="bg1"/>
                        </a:solidFill>
                      </a:rPr>
                      <a:pPr>
                        <a:defRPr b="1">
                          <a:solidFill>
                            <a:schemeClr val="bg1"/>
                          </a:solidFill>
                        </a:defRPr>
                      </a:pPr>
                      <a:t>[CELLRANGE]</a:t>
                    </a:fld>
                    <a:endParaRPr lang="es-MX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354545426920981"/>
                      <c:h val="0.24666593404868248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08EA-4446-A4C8-4761566FD9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val>
            <c:numRef>
              <c:f>Tablas!$C$17</c:f>
              <c:numCache>
                <c:formatCode>General</c:formatCode>
                <c:ptCount val="1"/>
                <c:pt idx="0">
                  <c:v>0.2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Tablas!$A$17</c15:f>
                <c15:dlblRangeCache>
                  <c:ptCount val="1"/>
                  <c:pt idx="0">
                    <c:v>Obesidad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08EA-4446-A4C8-4761566FD9BD}"/>
            </c:ext>
          </c:extLst>
        </c:ser>
        <c:ser>
          <c:idx val="5"/>
          <c:order val="5"/>
          <c:tx>
            <c:v>morbida</c:v>
          </c:tx>
          <c:spPr>
            <a:solidFill>
              <a:schemeClr val="accent6"/>
            </a:solidFill>
            <a:ln w="25400">
              <a:noFill/>
            </a:ln>
            <a:effectLst/>
          </c:spPr>
          <c:invertIfNegative val="0"/>
          <c:dPt>
            <c:idx val="0"/>
            <c:invertIfNegative val="1"/>
            <c:bubble3D val="0"/>
            <c:spPr>
              <a:gradFill>
                <a:gsLst>
                  <a:gs pos="28000">
                    <a:srgbClr val="700000"/>
                  </a:gs>
                  <a:gs pos="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08EA-4446-A4C8-4761566FD9BD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9EC7394C-FDE8-48E1-8DAA-A0C2C96DEB91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08EA-4446-A4C8-4761566FD9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val>
            <c:numRef>
              <c:f>Tablas!$C$18</c:f>
              <c:numCache>
                <c:formatCode>General</c:formatCode>
                <c:ptCount val="1"/>
                <c:pt idx="0">
                  <c:v>0.2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Tablas!$A$18</c15:f>
                <c15:dlblRangeCache>
                  <c:ptCount val="1"/>
                  <c:pt idx="0">
                    <c:v>Morbida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08EA-4446-A4C8-4761566FD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18454544"/>
        <c:axId val="718454128"/>
      </c:barChart>
      <c:scatterChart>
        <c:scatterStyle val="lineMarker"/>
        <c:varyColors val="0"/>
        <c:ser>
          <c:idx val="4"/>
          <c:order val="0"/>
          <c:tx>
            <c:v>Punto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16"/>
            <c:spPr>
              <a:solidFill>
                <a:srgbClr val="FFC000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0"/>
            <c:marker>
              <c:symbol val="triangle"/>
              <c:size val="16"/>
              <c:spPr>
                <a:solidFill>
                  <a:srgbClr val="FFC000"/>
                </a:solidFill>
                <a:ln w="222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EA-4446-A4C8-4761566FD9BD}"/>
              </c:ext>
            </c:extLst>
          </c:dPt>
          <c:xVal>
            <c:numRef>
              <c:f>Plantilla!$I$4</c:f>
              <c:numCache>
                <c:formatCode>_(* #,##0.00_);_(* \(#,##0.00\);_(* "-"??_);_(@_)</c:formatCode>
                <c:ptCount val="1"/>
                <c:pt idx="0">
                  <c:v>0.56179775280898869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08EA-4446-A4C8-4761566FD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4580224"/>
        <c:axId val="724572320"/>
      </c:scatterChart>
      <c:valAx>
        <c:axId val="724580224"/>
        <c:scaling>
          <c:orientation val="minMax"/>
          <c:max val="1"/>
        </c:scaling>
        <c:delete val="1"/>
        <c:axPos val="b"/>
        <c:numFmt formatCode="_(* #,##0.00_);_(* \(#,##0.00\);_(* &quot;-&quot;??_);_(@_)" sourceLinked="1"/>
        <c:majorTickMark val="out"/>
        <c:minorTickMark val="none"/>
        <c:tickLblPos val="nextTo"/>
        <c:crossAx val="724572320"/>
        <c:crosses val="autoZero"/>
        <c:crossBetween val="midCat"/>
      </c:valAx>
      <c:valAx>
        <c:axId val="724572320"/>
        <c:scaling>
          <c:orientation val="minMax"/>
          <c:max val="1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724580224"/>
        <c:crosses val="autoZero"/>
        <c:crossBetween val="midCat"/>
        <c:majorUnit val="4.0000000000000008E-2"/>
      </c:valAx>
      <c:valAx>
        <c:axId val="718454128"/>
        <c:scaling>
          <c:orientation val="minMax"/>
          <c:max val="1"/>
        </c:scaling>
        <c:delete val="1"/>
        <c:axPos val="t"/>
        <c:numFmt formatCode="General" sourceLinked="1"/>
        <c:majorTickMark val="out"/>
        <c:minorTickMark val="none"/>
        <c:tickLblPos val="nextTo"/>
        <c:crossAx val="718454544"/>
        <c:crosses val="max"/>
        <c:crossBetween val="between"/>
      </c:valAx>
      <c:catAx>
        <c:axId val="718454544"/>
        <c:scaling>
          <c:orientation val="minMax"/>
        </c:scaling>
        <c:delete val="1"/>
        <c:axPos val="r"/>
        <c:majorTickMark val="out"/>
        <c:minorTickMark val="none"/>
        <c:tickLblPos val="nextTo"/>
        <c:crossAx val="718454128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MX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Plantilla!$K$23</c:f>
              <c:strCache>
                <c:ptCount val="1"/>
                <c:pt idx="0">
                  <c:v>Perdida de Peso</c:v>
                </c:pt>
              </c:strCache>
            </c:strRef>
          </c:tx>
          <c:spPr>
            <a:ln w="41275" cap="rnd">
              <a:solidFill>
                <a:srgbClr val="FFC000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triangle"/>
            <c:size val="10"/>
            <c:spPr>
              <a:solidFill>
                <a:srgbClr val="FFC000">
                  <a:alpha val="90000"/>
                </a:srgbClr>
              </a:solidFill>
              <a:ln w="28575">
                <a:solidFill>
                  <a:srgbClr val="FFC000"/>
                </a:solidFill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solidFill>
                <a:srgbClr val="700000"/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0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15000"/>
                        <a:lumOff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Plantilla!$F$18:$F$20</c:f>
              <c:strCache>
                <c:ptCount val="3"/>
                <c:pt idx="0">
                  <c:v>DIA</c:v>
                </c:pt>
                <c:pt idx="1">
                  <c:v>SEMANA</c:v>
                </c:pt>
                <c:pt idx="2">
                  <c:v>MES</c:v>
                </c:pt>
              </c:strCache>
            </c:strRef>
          </c:cat>
          <c:val>
            <c:numRef>
              <c:f>Plantilla!$G$18:$G$20</c:f>
              <c:numCache>
                <c:formatCode>0.00\ "kg"</c:formatCode>
                <c:ptCount val="3"/>
                <c:pt idx="0">
                  <c:v>-3.8076444444444454E-2</c:v>
                </c:pt>
                <c:pt idx="1">
                  <c:v>-0.26653511111111117</c:v>
                </c:pt>
                <c:pt idx="2">
                  <c:v>-1.1422933333333338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5D-41E2-9DBB-EF3BD3E67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591615"/>
        <c:axId val="1293231855"/>
      </c:lineChart>
      <c:catAx>
        <c:axId val="709591615"/>
        <c:scaling>
          <c:orientation val="minMax"/>
        </c:scaling>
        <c:delete val="1"/>
        <c:axPos val="b"/>
        <c:numFmt formatCode="#,##0.00" sourceLinked="0"/>
        <c:majorTickMark val="out"/>
        <c:minorTickMark val="none"/>
        <c:tickLblPos val="nextTo"/>
        <c:crossAx val="1293231855"/>
        <c:crosses val="autoZero"/>
        <c:auto val="1"/>
        <c:lblAlgn val="ctr"/>
        <c:lblOffset val="100"/>
        <c:noMultiLvlLbl val="0"/>
      </c:catAx>
      <c:valAx>
        <c:axId val="1293231855"/>
        <c:scaling>
          <c:orientation val="minMax"/>
        </c:scaling>
        <c:delete val="1"/>
        <c:axPos val="l"/>
        <c:numFmt formatCode="0.00\ &quot;kg&quot;" sourceLinked="1"/>
        <c:majorTickMark val="out"/>
        <c:minorTickMark val="none"/>
        <c:tickLblPos val="nextTo"/>
        <c:crossAx val="70959161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992408557625949E-2"/>
          <c:y val="4.8588787175260814E-2"/>
          <c:w val="0.84397732892084143"/>
          <c:h val="0.88510676030041768"/>
        </c:manualLayout>
      </c:layout>
      <c:scatterChart>
        <c:scatterStyle val="lineMarker"/>
        <c:varyColors val="0"/>
        <c:ser>
          <c:idx val="0"/>
          <c:order val="0"/>
          <c:tx>
            <c:v>Zona</c:v>
          </c:tx>
          <c:spPr>
            <a:ln w="25400" cap="rnd">
              <a:noFill/>
              <a:round/>
            </a:ln>
            <a:effectLst/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25400">
                <a:noFill/>
              </a:ln>
              <a:effectLst/>
            </c:spPr>
          </c:marker>
          <c:xVal>
            <c:numRef>
              <c:f>Somatotipo!$E$42</c:f>
              <c:numCache>
                <c:formatCode>_(* #,##0.00_);_(* \(#,##0.00\);_(* "-"??_);_(@_)</c:formatCode>
                <c:ptCount val="1"/>
                <c:pt idx="0">
                  <c:v>-3.2790125187932597</c:v>
                </c:pt>
              </c:numCache>
            </c:numRef>
          </c:xVal>
          <c:yVal>
            <c:numRef>
              <c:f>Somatotipo!$E$43</c:f>
              <c:numCache>
                <c:formatCode>_(* #,##0.00_);_(* \(#,##0.00\);_(* "-"??_);_(@_)</c:formatCode>
                <c:ptCount val="1"/>
                <c:pt idx="0">
                  <c:v>2.8748543618591986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38-466A-82A2-5D02C3DC5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938816"/>
        <c:axId val="841939232"/>
      </c:scatterChart>
      <c:valAx>
        <c:axId val="841938816"/>
        <c:scaling>
          <c:orientation val="minMax"/>
          <c:max val="8"/>
          <c:min val="-8"/>
        </c:scaling>
        <c:delete val="0"/>
        <c:axPos val="b"/>
        <c:numFmt formatCode="#,##0" sourceLinked="0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>
            <a:outerShdw blurRad="50800" sx="1000" sy="1000" algn="ctr" rotWithShape="0">
              <a:srgbClr val="000000"/>
            </a:outerShdw>
          </a:effectLst>
        </c:spPr>
        <c:txPr>
          <a:bodyPr rot="0" spcFirstLastPara="1" vertOverflow="ellipsis" wrap="square" anchor="b" anchorCtr="0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841939232"/>
        <c:crossesAt val="-10"/>
        <c:crossBetween val="midCat"/>
        <c:majorUnit val="1"/>
        <c:minorUnit val="0.1"/>
      </c:valAx>
      <c:valAx>
        <c:axId val="841939232"/>
        <c:scaling>
          <c:orientation val="minMax"/>
          <c:max val="16"/>
          <c:min val="-10"/>
        </c:scaling>
        <c:delete val="0"/>
        <c:axPos val="l"/>
        <c:numFmt formatCode="#,##0" sourceLinked="0"/>
        <c:majorTickMark val="out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wrap="square" anchor="b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841938816"/>
        <c:crossesAt val="8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 paperSize="9" orientation="landscape" horizontalDpi="300" verticalDpi="300"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sv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svg"/><Relationship Id="rId7" Type="http://schemas.openxmlformats.org/officeDocument/2006/relationships/image" Target="../media/image7.emf"/><Relationship Id="rId12" Type="http://schemas.openxmlformats.org/officeDocument/2006/relationships/image" Target="../media/image12.png"/><Relationship Id="rId17" Type="http://schemas.openxmlformats.org/officeDocument/2006/relationships/image" Target="../media/image17.svg"/><Relationship Id="rId25" Type="http://schemas.openxmlformats.org/officeDocument/2006/relationships/image" Target="../media/image25.svg"/><Relationship Id="rId33" Type="http://schemas.openxmlformats.org/officeDocument/2006/relationships/hyperlink" Target="#Personas!A1"/><Relationship Id="rId2" Type="http://schemas.openxmlformats.org/officeDocument/2006/relationships/chart" Target="../charts/chart2.xml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8.png"/><Relationship Id="rId1" Type="http://schemas.openxmlformats.org/officeDocument/2006/relationships/chart" Target="../charts/chart1.xml"/><Relationship Id="rId6" Type="http://schemas.openxmlformats.org/officeDocument/2006/relationships/image" Target="../media/image6.png"/><Relationship Id="rId11" Type="http://schemas.openxmlformats.org/officeDocument/2006/relationships/image" Target="../media/image11.svg"/><Relationship Id="rId24" Type="http://schemas.openxmlformats.org/officeDocument/2006/relationships/image" Target="../media/image24.png"/><Relationship Id="rId32" Type="http://schemas.openxmlformats.org/officeDocument/2006/relationships/image" Target="../media/image31.png"/><Relationship Id="rId5" Type="http://schemas.openxmlformats.org/officeDocument/2006/relationships/image" Target="../media/image5.png"/><Relationship Id="rId15" Type="http://schemas.openxmlformats.org/officeDocument/2006/relationships/image" Target="../media/image15.svg"/><Relationship Id="rId23" Type="http://schemas.openxmlformats.org/officeDocument/2006/relationships/image" Target="../media/image23.svg"/><Relationship Id="rId28" Type="http://schemas.openxmlformats.org/officeDocument/2006/relationships/chart" Target="../charts/chart3.xml"/><Relationship Id="rId10" Type="http://schemas.openxmlformats.org/officeDocument/2006/relationships/image" Target="../media/image10.png"/><Relationship Id="rId19" Type="http://schemas.openxmlformats.org/officeDocument/2006/relationships/image" Target="../media/image19.svg"/><Relationship Id="rId31" Type="http://schemas.openxmlformats.org/officeDocument/2006/relationships/image" Target="../media/image30.png"/><Relationship Id="rId4" Type="http://schemas.openxmlformats.org/officeDocument/2006/relationships/image" Target="../media/image4.png"/><Relationship Id="rId9" Type="http://schemas.openxmlformats.org/officeDocument/2006/relationships/image" Target="../media/image9.sv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svg"/><Relationship Id="rId30" Type="http://schemas.openxmlformats.org/officeDocument/2006/relationships/image" Target="../media/image29.png"/><Relationship Id="rId8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4.jpg"/><Relationship Id="rId1" Type="http://schemas.openxmlformats.org/officeDocument/2006/relationships/image" Target="../media/image33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jpeg"/><Relationship Id="rId3" Type="http://schemas.openxmlformats.org/officeDocument/2006/relationships/image" Target="../media/image39.png"/><Relationship Id="rId7" Type="http://schemas.openxmlformats.org/officeDocument/2006/relationships/image" Target="../media/image43.jpeg"/><Relationship Id="rId2" Type="http://schemas.openxmlformats.org/officeDocument/2006/relationships/image" Target="../media/image38.jpeg"/><Relationship Id="rId1" Type="http://schemas.openxmlformats.org/officeDocument/2006/relationships/image" Target="../media/image37.jpeg"/><Relationship Id="rId6" Type="http://schemas.openxmlformats.org/officeDocument/2006/relationships/image" Target="../media/image42.jpeg"/><Relationship Id="rId11" Type="http://schemas.openxmlformats.org/officeDocument/2006/relationships/image" Target="../media/image47.jpeg"/><Relationship Id="rId5" Type="http://schemas.openxmlformats.org/officeDocument/2006/relationships/image" Target="../media/image41.jpeg"/><Relationship Id="rId10" Type="http://schemas.openxmlformats.org/officeDocument/2006/relationships/image" Target="../media/image46.jpeg"/><Relationship Id="rId4" Type="http://schemas.openxmlformats.org/officeDocument/2006/relationships/image" Target="../media/image40.jpeg"/><Relationship Id="rId9" Type="http://schemas.openxmlformats.org/officeDocument/2006/relationships/image" Target="../media/image4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2</xdr:row>
      <xdr:rowOff>0</xdr:rowOff>
    </xdr:from>
    <xdr:to>
      <xdr:col>10</xdr:col>
      <xdr:colOff>676275</xdr:colOff>
      <xdr:row>41</xdr:row>
      <xdr:rowOff>9525</xdr:rowOff>
    </xdr:to>
    <xdr:sp macro="" textlink="">
      <xdr:nvSpPr>
        <xdr:cNvPr id="2" name="Redondear rectángulo de esquina diagonal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619250" y="381000"/>
          <a:ext cx="7439025" cy="7439025"/>
        </a:xfrm>
        <a:prstGeom prst="round2DiagRect">
          <a:avLst/>
        </a:prstGeom>
        <a:solidFill>
          <a:srgbClr val="C0E399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l"/>
          <a:endParaRPr 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l"/>
          <a:endParaRPr 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l"/>
          <a:r>
            <a:rPr lang="en-U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Composición</a:t>
          </a:r>
          <a:r>
            <a:rPr lang="en-US" sz="18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Corporal</a:t>
          </a:r>
          <a:endParaRPr lang="en-US" sz="1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l"/>
          <a:endParaRPr 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l"/>
          <a:r>
            <a:rPr lang="en-U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Problema:</a:t>
          </a:r>
          <a:r>
            <a:rPr lang="en-US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 </a:t>
          </a:r>
        </a:p>
        <a:p>
          <a:pPr algn="l"/>
          <a:endParaRPr lang="en-US" sz="14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Bahnschrift SemiBold" panose="020B0502040204020203" pitchFamily="34" charset="0"/>
          </a:endParaRPr>
        </a:p>
        <a:p>
          <a:pPr algn="l"/>
          <a:r>
            <a:rPr lang="en-US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ahnschrift Light" panose="020B0502040204020203" pitchFamily="34" charset="0"/>
            </a:rPr>
            <a:t>A un profesional de la actividad física y deporte, tiene que describir la composición corporal  para un</a:t>
          </a:r>
          <a:r>
            <a:rPr lang="en-US" sz="1400" b="0" i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ahnschrift Light" panose="020B0502040204020203" pitchFamily="34" charset="0"/>
            </a:rPr>
            <a:t> </a:t>
          </a:r>
          <a:r>
            <a:rPr lang="en-US" sz="1400" b="1" i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ahnschrift Light" panose="020B0502040204020203" pitchFamily="34" charset="0"/>
            </a:rPr>
            <a:t>grupo de clientes,</a:t>
          </a:r>
          <a:r>
            <a:rPr lang="en-US" sz="1400" b="0" i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ahnschrift Light" panose="020B0502040204020203" pitchFamily="34" charset="0"/>
            </a:rPr>
            <a:t>  </a:t>
          </a:r>
          <a:r>
            <a:rPr lang="en-US" sz="14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ahnschrift Light" panose="020B0502040204020203" pitchFamily="34" charset="0"/>
            </a:rPr>
            <a:t>la recomendación de la cuál parte, serán las medidas básicas corporales de cada sujeto y sus variables fisiológicas, para establecer   la composición corporal de grasa y musculo, mediante la medición de diámetros, pliegues y circunferencias; ya que pretende dar a sus clientes una mejor idea de como esta distribuida su composición corporal entre grasa y musculo. </a:t>
          </a:r>
          <a:r>
            <a:rPr lang="en-US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ahnschrift Light" panose="020B0502040204020203" pitchFamily="34" charset="0"/>
            </a:rPr>
            <a:t> Para ello ha determinado adquirir y tomar en cuenta los siguientes elementos y mediciones:</a:t>
          </a:r>
        </a:p>
        <a:p>
          <a:pPr algn="l"/>
          <a:endParaRPr lang="en-US" sz="14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Bahnschrift Light" panose="020B0502040204020203" pitchFamily="34" charset="0"/>
          </a:endParaRPr>
        </a:p>
        <a:p>
          <a:pPr algn="l"/>
          <a:r>
            <a:rPr lang="en-US" sz="1400" b="0" i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ahnschrift SemiBold" panose="020B0502040204020203" pitchFamily="34" charset="0"/>
            </a:rPr>
            <a:t>Nombre Cliente, Genero, Edad, Peso, Altura, Consumo, nivel de actividad física,  Objetivo del IMC, Medidas Antropométricas.	</a:t>
          </a:r>
        </a:p>
        <a:p>
          <a:pPr algn="l"/>
          <a:endParaRPr lang="en-US" sz="14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Bahnschrift SemiBold" panose="020B0502040204020203" pitchFamily="34" charset="0"/>
          </a:endParaRPr>
        </a:p>
        <a:p>
          <a:pPr algn="l"/>
          <a:r>
            <a:rPr lang="en-US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Se intenta responder:</a:t>
          </a:r>
        </a:p>
        <a:p>
          <a:pPr algn="l"/>
          <a:r>
            <a:rPr lang="en-US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ahnschrift SemiBold" panose="020B0502040204020203" pitchFamily="34" charset="0"/>
            </a:rPr>
            <a:t>¿Cuáles sera  la composición corporal ?</a:t>
          </a:r>
        </a:p>
        <a:p>
          <a:pPr algn="l"/>
          <a:r>
            <a:rPr lang="en-US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ahnschrift SemiBold" panose="020B0502040204020203" pitchFamily="34" charset="0"/>
            </a:rPr>
            <a:t>¿Cómo esta distribuido su masa grasa, magra  y que peso ideal necesita?</a:t>
          </a:r>
        </a:p>
        <a:p>
          <a:pPr algn="l"/>
          <a:r>
            <a:rPr lang="en-US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ahnschrift SemiBold" panose="020B0502040204020203" pitchFamily="34" charset="0"/>
            </a:rPr>
            <a:t>¿Cuál será el resultado de consumo energético, para cumplir con sus objetivos?</a:t>
          </a:r>
        </a:p>
        <a:p>
          <a:pPr algn="l"/>
          <a:r>
            <a:rPr lang="en-US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ahnschrift SemiBold" panose="020B0502040204020203" pitchFamily="34" charset="0"/>
            </a:rPr>
            <a:t>¿Qué gráfico necesita exponer para proyectar su ingesta vs consumo al mes y el tipo de somatotipo al que pertenece?</a:t>
          </a:r>
        </a:p>
        <a:p>
          <a:pPr algn="l"/>
          <a:r>
            <a:rPr lang="en-US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ahnschrift SemiBold" panose="020B0502040204020203" pitchFamily="34" charset="0"/>
            </a:rPr>
            <a:t>¿Qué composición tiene de acuerdo a su medidas, Endo, Meso y Ecto mórficas?  </a:t>
          </a:r>
        </a:p>
        <a:p>
          <a:pPr algn="l"/>
          <a:endParaRPr lang="en-US" sz="14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Bahnschrift SemiBold" panose="020B0502040204020203" pitchFamily="34" charset="0"/>
          </a:endParaRPr>
        </a:p>
        <a:p>
          <a:pPr algn="l"/>
          <a:r>
            <a:rPr lang="en-US" sz="1200" b="0" i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ahnschrift Light" panose="020B0502040204020203" pitchFamily="34" charset="0"/>
            </a:rPr>
            <a:t>Para esté problema, se tomara como insumos prácticos la tasa metabólica varias autoridades, Composición Corporal Heat Carter, Lee-1, Durnin, Siri  y Faulkner.</a:t>
          </a:r>
        </a:p>
        <a:p>
          <a:pPr algn="l"/>
          <a:endParaRPr lang="en-US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Bahnschrift SemiBold" panose="020B0502040204020203" pitchFamily="34" charset="0"/>
          </a:endParaRPr>
        </a:p>
        <a:p>
          <a:pPr algn="l"/>
          <a:r>
            <a:rPr lang="en-US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ahnschrift SemiBold" panose="020B0502040204020203" pitchFamily="34" charset="0"/>
            </a:rPr>
            <a:t>Curso: Tecnologías de la Información y la comunicación.</a:t>
          </a:r>
          <a:br>
            <a:rPr lang="en-US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ahnschrift SemiBold" panose="020B0502040204020203" pitchFamily="34" charset="0"/>
            </a:rPr>
          </a:br>
          <a:r>
            <a:rPr lang="en-US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ahnschrift SemiBold" panose="020B0502040204020203" pitchFamily="34" charset="0"/>
            </a:rPr>
            <a:t>Mtro. Samuel Rodríguez Lucas</a:t>
          </a:r>
          <a:br>
            <a:rPr lang="en-US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ahnschrift SemiBold" panose="020B0502040204020203" pitchFamily="34" charset="0"/>
            </a:rPr>
          </a:br>
          <a:endParaRPr lang="en-US" sz="1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Bahnschrift SemiBold" panose="020B0502040204020203" pitchFamily="34" charset="0"/>
          </a:endParaRPr>
        </a:p>
      </xdr:txBody>
    </xdr:sp>
    <xdr:clientData/>
  </xdr:twoCellAnchor>
  <xdr:twoCellAnchor editAs="oneCell">
    <xdr:from>
      <xdr:col>7</xdr:col>
      <xdr:colOff>433917</xdr:colOff>
      <xdr:row>3</xdr:row>
      <xdr:rowOff>18791</xdr:rowOff>
    </xdr:from>
    <xdr:to>
      <xdr:col>10</xdr:col>
      <xdr:colOff>376767</xdr:colOff>
      <xdr:row>9</xdr:row>
      <xdr:rowOff>187325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30D5F0E-DBF5-A590-A0E4-DFD8F530F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7917" y="590291"/>
          <a:ext cx="2228850" cy="13115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685800</xdr:colOff>
      <xdr:row>2</xdr:row>
      <xdr:rowOff>57150</xdr:rowOff>
    </xdr:from>
    <xdr:to>
      <xdr:col>9</xdr:col>
      <xdr:colOff>114300</xdr:colOff>
      <xdr:row>38</xdr:row>
      <xdr:rowOff>66676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99559F29-149D-6809-CD44-50CA51E7831E}"/>
            </a:ext>
          </a:extLst>
        </xdr:cNvPr>
        <xdr:cNvSpPr txBox="1"/>
      </xdr:nvSpPr>
      <xdr:spPr>
        <a:xfrm>
          <a:off x="685800" y="542925"/>
          <a:ext cx="6286500" cy="6867526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 b="1" i="0">
              <a:solidFill>
                <a:schemeClr val="dk1"/>
              </a:solidFill>
              <a:effectLst/>
              <a:latin typeface="Aptos Display" panose="020B0004020202020204" pitchFamily="34" charset="0"/>
              <a:ea typeface="+mn-ea"/>
              <a:cs typeface="+mn-cs"/>
            </a:rPr>
            <a:t>El somatotipo</a:t>
          </a:r>
          <a:r>
            <a:rPr lang="es-MX" sz="1100" b="0" i="0">
              <a:solidFill>
                <a:schemeClr val="dk1"/>
              </a:solidFill>
              <a:effectLst/>
              <a:latin typeface="Aptos Display" panose="020B0004020202020204" pitchFamily="34" charset="0"/>
              <a:ea typeface="+mn-ea"/>
              <a:cs typeface="+mn-cs"/>
            </a:rPr>
            <a:t> es una clasificación biológica que se utiliza para describir la forma y la composición corporal de una persona. Fue desarrollado por el doctor William H. Sheldon en la década de 1940 y se basa en tres componentes principales: endomorfia, mesomorfia y ectomorfia. Estos componentes se evalúan en una escala de 0 a 7, donde 0 representa la ausencia de esa característica y 7 la presencia máxima de la misma. </a:t>
          </a:r>
        </a:p>
        <a:p>
          <a:endParaRPr lang="es-MX" sz="1100" b="0" i="0">
            <a:solidFill>
              <a:schemeClr val="dk1"/>
            </a:solidFill>
            <a:effectLst/>
            <a:latin typeface="Aptos Display" panose="020B0004020202020204" pitchFamily="34" charset="0"/>
            <a:ea typeface="+mn-ea"/>
            <a:cs typeface="+mn-cs"/>
          </a:endParaRPr>
        </a:p>
        <a:p>
          <a:r>
            <a:rPr lang="es-MX" sz="1100" b="0" i="0">
              <a:solidFill>
                <a:schemeClr val="dk1"/>
              </a:solidFill>
              <a:effectLst/>
              <a:latin typeface="Aptos Display" panose="020B0004020202020204" pitchFamily="34" charset="0"/>
              <a:ea typeface="+mn-ea"/>
              <a:cs typeface="+mn-cs"/>
            </a:rPr>
            <a:t>Información sobre cada componente y las variables necesarias para determinar el somatotipo de una persona:</a:t>
          </a:r>
        </a:p>
        <a:p>
          <a:r>
            <a:rPr lang="es-MX" sz="1100" b="1" i="0">
              <a:solidFill>
                <a:schemeClr val="dk1"/>
              </a:solidFill>
              <a:effectLst/>
              <a:latin typeface="Aptos Display" panose="020B0004020202020204" pitchFamily="34" charset="0"/>
              <a:ea typeface="+mn-ea"/>
              <a:cs typeface="+mn-cs"/>
            </a:rPr>
            <a:t>Endomorfia:</a:t>
          </a:r>
        </a:p>
        <a:p>
          <a:pPr lvl="1"/>
          <a:r>
            <a:rPr lang="es-MX" sz="1100" b="0" i="0">
              <a:solidFill>
                <a:schemeClr val="dk1"/>
              </a:solidFill>
              <a:effectLst/>
              <a:latin typeface="Aptos Display" panose="020B0004020202020204" pitchFamily="34" charset="0"/>
              <a:ea typeface="+mn-ea"/>
              <a:cs typeface="+mn-cs"/>
            </a:rPr>
            <a:t>La endomorfia se relaciona con la cantidad de grasa corporal y la tendencia a acumular grasa.</a:t>
          </a:r>
        </a:p>
        <a:p>
          <a:pPr lvl="1"/>
          <a:r>
            <a:rPr lang="es-MX" sz="1100" b="0" i="0">
              <a:solidFill>
                <a:schemeClr val="dk1"/>
              </a:solidFill>
              <a:effectLst/>
              <a:latin typeface="Aptos Display" panose="020B0004020202020204" pitchFamily="34" charset="0"/>
              <a:ea typeface="+mn-ea"/>
              <a:cs typeface="+mn-cs"/>
            </a:rPr>
            <a:t>Para determinar la endomorfia, se pueden tener en cuenta las siguientes variables:</a:t>
          </a:r>
        </a:p>
        <a:p>
          <a:pPr lvl="2"/>
          <a:r>
            <a:rPr lang="es-MX" sz="1100" b="0" i="0">
              <a:solidFill>
                <a:schemeClr val="dk1"/>
              </a:solidFill>
              <a:effectLst/>
              <a:latin typeface="Aptos Display" panose="020B0004020202020204" pitchFamily="34" charset="0"/>
              <a:ea typeface="+mn-ea"/>
              <a:cs typeface="+mn-cs"/>
            </a:rPr>
            <a:t>- Grosor de los pliegues cutáneos en puntos específicos del cuerpo (tríceps, suprailíaco, subescapular).</a:t>
          </a:r>
        </a:p>
        <a:p>
          <a:pPr lvl="2"/>
          <a:r>
            <a:rPr lang="es-MX" sz="1100" b="0" i="0">
              <a:solidFill>
                <a:schemeClr val="dk1"/>
              </a:solidFill>
              <a:effectLst/>
              <a:latin typeface="Aptos Display" panose="020B0004020202020204" pitchFamily="34" charset="0"/>
              <a:ea typeface="+mn-ea"/>
              <a:cs typeface="+mn-cs"/>
            </a:rPr>
            <a:t>- Circunferencia de la cintura en relación con la circunferencia de la cadera (índice cintura-cadera).</a:t>
          </a:r>
        </a:p>
        <a:p>
          <a:pPr lvl="2"/>
          <a:r>
            <a:rPr lang="es-MX" sz="1100" b="0" i="0">
              <a:solidFill>
                <a:schemeClr val="dk1"/>
              </a:solidFill>
              <a:effectLst/>
              <a:latin typeface="Aptos Display" panose="020B0004020202020204" pitchFamily="34" charset="0"/>
              <a:ea typeface="+mn-ea"/>
              <a:cs typeface="+mn-cs"/>
            </a:rPr>
            <a:t>- Diámetro biacromial (ancho de los hombros) en relación con el diámetro biiliocrestal (ancho de la cadera).</a:t>
          </a:r>
        </a:p>
        <a:p>
          <a:r>
            <a:rPr lang="es-MX" sz="1100" b="1" i="0">
              <a:solidFill>
                <a:schemeClr val="dk1"/>
              </a:solidFill>
              <a:effectLst/>
              <a:latin typeface="Aptos Display" panose="020B0004020202020204" pitchFamily="34" charset="0"/>
              <a:ea typeface="+mn-ea"/>
              <a:cs typeface="+mn-cs"/>
            </a:rPr>
            <a:t>Mesomorfia:</a:t>
          </a:r>
        </a:p>
        <a:p>
          <a:pPr lvl="1"/>
          <a:r>
            <a:rPr lang="es-MX" sz="1100" b="0" i="0">
              <a:solidFill>
                <a:schemeClr val="dk1"/>
              </a:solidFill>
              <a:effectLst/>
              <a:latin typeface="Aptos Display" panose="020B0004020202020204" pitchFamily="34" charset="0"/>
              <a:ea typeface="+mn-ea"/>
              <a:cs typeface="+mn-cs"/>
            </a:rPr>
            <a:t>La mesomorfia se refiere a la musculatura y la capacidad del cuerpo para desarrollar músculos.</a:t>
          </a:r>
        </a:p>
        <a:p>
          <a:pPr lvl="1"/>
          <a:r>
            <a:rPr lang="es-MX" sz="1100" b="0" i="0">
              <a:solidFill>
                <a:schemeClr val="dk1"/>
              </a:solidFill>
              <a:effectLst/>
              <a:latin typeface="Aptos Display" panose="020B0004020202020204" pitchFamily="34" charset="0"/>
              <a:ea typeface="+mn-ea"/>
              <a:cs typeface="+mn-cs"/>
            </a:rPr>
            <a:t>Para determinar la mesomorfia, se pueden considerar estas variables:</a:t>
          </a:r>
        </a:p>
        <a:p>
          <a:pPr lvl="2"/>
          <a:r>
            <a:rPr lang="es-MX" sz="1100" b="0" i="0">
              <a:solidFill>
                <a:schemeClr val="dk1"/>
              </a:solidFill>
              <a:effectLst/>
              <a:latin typeface="Aptos Display" panose="020B0004020202020204" pitchFamily="34" charset="0"/>
              <a:ea typeface="+mn-ea"/>
              <a:cs typeface="+mn-cs"/>
            </a:rPr>
            <a:t>- Circunferencia de los brazos y las piernas.</a:t>
          </a:r>
        </a:p>
        <a:p>
          <a:pPr lvl="2"/>
          <a:r>
            <a:rPr lang="es-MX" sz="1100" b="0" i="0">
              <a:solidFill>
                <a:schemeClr val="dk1"/>
              </a:solidFill>
              <a:effectLst/>
              <a:latin typeface="Aptos Display" panose="020B0004020202020204" pitchFamily="34" charset="0"/>
              <a:ea typeface="+mn-ea"/>
              <a:cs typeface="+mn-cs"/>
            </a:rPr>
            <a:t>- Ancho de los hombros en relación con el tamaño de la cintura.</a:t>
          </a:r>
        </a:p>
        <a:p>
          <a:pPr lvl="2"/>
          <a:r>
            <a:rPr lang="es-MX" sz="1100" b="0" i="0">
              <a:solidFill>
                <a:schemeClr val="dk1"/>
              </a:solidFill>
              <a:effectLst/>
              <a:latin typeface="Aptos Display" panose="020B0004020202020204" pitchFamily="34" charset="0"/>
              <a:ea typeface="+mn-ea"/>
              <a:cs typeface="+mn-cs"/>
            </a:rPr>
            <a:t>- Espesor de los músculos en puntos específicos del cuerpo.</a:t>
          </a:r>
        </a:p>
        <a:p>
          <a:r>
            <a:rPr lang="es-MX" sz="1100" b="1" i="0">
              <a:solidFill>
                <a:schemeClr val="dk1"/>
              </a:solidFill>
              <a:effectLst/>
              <a:latin typeface="Aptos Display" panose="020B0004020202020204" pitchFamily="34" charset="0"/>
              <a:ea typeface="+mn-ea"/>
              <a:cs typeface="+mn-cs"/>
            </a:rPr>
            <a:t>Ectomorfia:</a:t>
          </a:r>
        </a:p>
        <a:p>
          <a:pPr lvl="1"/>
          <a:r>
            <a:rPr lang="es-MX" sz="1100" b="0" i="0">
              <a:solidFill>
                <a:schemeClr val="dk1"/>
              </a:solidFill>
              <a:effectLst/>
              <a:latin typeface="Aptos Display" panose="020B0004020202020204" pitchFamily="34" charset="0"/>
              <a:ea typeface="+mn-ea"/>
              <a:cs typeface="+mn-cs"/>
            </a:rPr>
            <a:t>La ectomorfia se relaciona con la delgadez y la tendencia a tener una estructura corporal más estilizada.</a:t>
          </a:r>
        </a:p>
        <a:p>
          <a:pPr lvl="1"/>
          <a:r>
            <a:rPr lang="es-MX" sz="1100" b="0" i="0">
              <a:solidFill>
                <a:schemeClr val="dk1"/>
              </a:solidFill>
              <a:effectLst/>
              <a:latin typeface="Aptos Display" panose="020B0004020202020204" pitchFamily="34" charset="0"/>
              <a:ea typeface="+mn-ea"/>
              <a:cs typeface="+mn-cs"/>
            </a:rPr>
            <a:t>Variables que se pueden utilizar para evaluar la ectomorfia incluyen:</a:t>
          </a:r>
        </a:p>
        <a:p>
          <a:pPr lvl="2"/>
          <a:r>
            <a:rPr lang="es-MX" sz="1100" b="0" i="0">
              <a:solidFill>
                <a:schemeClr val="dk1"/>
              </a:solidFill>
              <a:effectLst/>
              <a:latin typeface="Aptos Display" panose="020B0004020202020204" pitchFamily="34" charset="0"/>
              <a:ea typeface="+mn-ea"/>
              <a:cs typeface="+mn-cs"/>
            </a:rPr>
            <a:t>- Altura y longitud de los huesos.</a:t>
          </a:r>
        </a:p>
        <a:p>
          <a:pPr lvl="2"/>
          <a:r>
            <a:rPr lang="es-MX" sz="1100" b="0" i="0">
              <a:solidFill>
                <a:schemeClr val="dk1"/>
              </a:solidFill>
              <a:effectLst/>
              <a:latin typeface="Aptos Display" panose="020B0004020202020204" pitchFamily="34" charset="0"/>
              <a:ea typeface="+mn-ea"/>
              <a:cs typeface="+mn-cs"/>
            </a:rPr>
            <a:t>- Circunferencia de las extremidades en relación con la longitud del tronco.</a:t>
          </a:r>
        </a:p>
        <a:p>
          <a:pPr lvl="2"/>
          <a:r>
            <a:rPr lang="es-MX" sz="1100" b="0" i="0">
              <a:solidFill>
                <a:schemeClr val="dk1"/>
              </a:solidFill>
              <a:effectLst/>
              <a:latin typeface="Aptos Display" panose="020B0004020202020204" pitchFamily="34" charset="0"/>
              <a:ea typeface="+mn-ea"/>
              <a:cs typeface="+mn-cs"/>
            </a:rPr>
            <a:t>- Ancho de las caderas en relación con el tamaño de la cintura.</a:t>
          </a:r>
        </a:p>
        <a:p>
          <a:endParaRPr lang="es-MX" sz="1100" b="0" i="0">
            <a:solidFill>
              <a:schemeClr val="dk1"/>
            </a:solidFill>
            <a:effectLst/>
            <a:latin typeface="Aptos Display" panose="020B0004020202020204" pitchFamily="34" charset="0"/>
            <a:ea typeface="+mn-ea"/>
            <a:cs typeface="+mn-cs"/>
          </a:endParaRPr>
        </a:p>
        <a:p>
          <a:r>
            <a:rPr lang="es-MX" sz="1100" b="0" i="0">
              <a:solidFill>
                <a:schemeClr val="dk1"/>
              </a:solidFill>
              <a:effectLst/>
              <a:latin typeface="Aptos Display" panose="020B0004020202020204" pitchFamily="34" charset="0"/>
              <a:ea typeface="+mn-ea"/>
              <a:cs typeface="+mn-cs"/>
            </a:rPr>
            <a:t>Una vez que se han evaluado estas variables y se les ha asignado una puntuación en la escala de 0 a 7, se suman las puntuaciones de los tres componentes (endomorfia, mesomorfia y ectomorfia) para obtener el somatotipo de una persona.  El somatotipo se describe en una combinación de tres números, por ejemplo, 3-4-5, donde el primer número representa la endomorfia, el segundo la mesomorfia y el tercero la ectomorfia.</a:t>
          </a:r>
        </a:p>
        <a:p>
          <a:r>
            <a:rPr lang="es-MX" sz="1100" b="0" i="0">
              <a:solidFill>
                <a:schemeClr val="dk1"/>
              </a:solidFill>
              <a:effectLst/>
              <a:latin typeface="Aptos Display" panose="020B0004020202020204" pitchFamily="34" charset="0"/>
              <a:ea typeface="+mn-ea"/>
              <a:cs typeface="+mn-cs"/>
            </a:rPr>
            <a:t>Es importante recordar que el somatotipo es una simplificación de la complejidad de la diversidad humana y que no necesariamente refleja la salud general o la condición física de una persona. Además, las puntuaciones pueden cambiar con el tiempo debido a cambios en la dieta, el ejercicio y otros factores.</a:t>
          </a:r>
        </a:p>
        <a:p>
          <a:endParaRPr lang="es-MX" sz="1100">
            <a:latin typeface="Aptos Display" panose="020B00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79375</xdr:colOff>
      <xdr:row>9</xdr:row>
      <xdr:rowOff>12701</xdr:rowOff>
    </xdr:from>
    <xdr:to>
      <xdr:col>11</xdr:col>
      <xdr:colOff>936626</xdr:colOff>
      <xdr:row>21</xdr:row>
      <xdr:rowOff>3175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073F2C44-BFB7-46C5-A26D-B4F331A2F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147636</xdr:colOff>
      <xdr:row>3</xdr:row>
      <xdr:rowOff>9524</xdr:rowOff>
    </xdr:from>
    <xdr:to>
      <xdr:col>11</xdr:col>
      <xdr:colOff>1152526</xdr:colOff>
      <xdr:row>7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695325</xdr:colOff>
      <xdr:row>4</xdr:row>
      <xdr:rowOff>125459</xdr:rowOff>
    </xdr:from>
    <xdr:to>
      <xdr:col>11</xdr:col>
      <xdr:colOff>933450</xdr:colOff>
      <xdr:row>6</xdr:row>
      <xdr:rowOff>93593</xdr:rowOff>
    </xdr:to>
    <xdr:pic>
      <xdr:nvPicPr>
        <xdr:cNvPr id="15" name="Imagen 14" descr="Olympe et le plafond de verre - page 11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82050" y="963659"/>
          <a:ext cx="238125" cy="377709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152401</xdr:colOff>
      <xdr:row>4</xdr:row>
      <xdr:rowOff>147170</xdr:rowOff>
    </xdr:from>
    <xdr:to>
      <xdr:col>10</xdr:col>
      <xdr:colOff>295275</xdr:colOff>
      <xdr:row>6</xdr:row>
      <xdr:rowOff>122169</xdr:rowOff>
    </xdr:to>
    <xdr:pic>
      <xdr:nvPicPr>
        <xdr:cNvPr id="24" name="Imagen 23" descr="Olympe et le plafond de verre - page 11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29501" y="985370"/>
          <a:ext cx="142874" cy="384574"/>
        </a:xfrm>
        <a:prstGeom prst="rect">
          <a:avLst/>
        </a:prstGeom>
      </xdr:spPr>
    </xdr:pic>
    <xdr:clientData/>
  </xdr:twoCellAnchor>
  <xdr:twoCellAnchor editAs="oneCell">
    <xdr:from>
      <xdr:col>10</xdr:col>
      <xdr:colOff>430824</xdr:colOff>
      <xdr:row>4</xdr:row>
      <xdr:rowOff>128700</xdr:rowOff>
    </xdr:from>
    <xdr:to>
      <xdr:col>10</xdr:col>
      <xdr:colOff>621323</xdr:colOff>
      <xdr:row>6</xdr:row>
      <xdr:rowOff>112643</xdr:rowOff>
    </xdr:to>
    <xdr:pic>
      <xdr:nvPicPr>
        <xdr:cNvPr id="25" name="Imagen 24" descr="Olympe et le plafond de verre - page 11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rgbClr val="FFC0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515" r="26768"/>
        <a:stretch/>
      </xdr:blipFill>
      <xdr:spPr>
        <a:xfrm>
          <a:off x="7787055" y="963969"/>
          <a:ext cx="190499" cy="392053"/>
        </a:xfrm>
        <a:prstGeom prst="rect">
          <a:avLst/>
        </a:prstGeom>
      </xdr:spPr>
    </xdr:pic>
    <xdr:clientData/>
  </xdr:twoCellAnchor>
  <xdr:twoCellAnchor editAs="oneCell">
    <xdr:from>
      <xdr:col>8</xdr:col>
      <xdr:colOff>587378</xdr:colOff>
      <xdr:row>4</xdr:row>
      <xdr:rowOff>158749</xdr:rowOff>
    </xdr:from>
    <xdr:to>
      <xdr:col>9</xdr:col>
      <xdr:colOff>43964</xdr:colOff>
      <xdr:row>6</xdr:row>
      <xdr:rowOff>96837</xdr:rowOff>
    </xdr:to>
    <xdr:pic>
      <xdr:nvPicPr>
        <xdr:cNvPr id="26" name="Imagen 25" descr="Olympe et le plafond de verre - page 11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383" t="3846" r="7895" b="2119"/>
        <a:stretch/>
      </xdr:blipFill>
      <xdr:spPr>
        <a:xfrm>
          <a:off x="6676051" y="994018"/>
          <a:ext cx="174625" cy="346198"/>
        </a:xfrm>
        <a:prstGeom prst="rect">
          <a:avLst/>
        </a:prstGeom>
      </xdr:spPr>
    </xdr:pic>
    <xdr:clientData/>
  </xdr:twoCellAnchor>
  <xdr:twoCellAnchor editAs="oneCell">
    <xdr:from>
      <xdr:col>11</xdr:col>
      <xdr:colOff>133351</xdr:colOff>
      <xdr:row>4</xdr:row>
      <xdr:rowOff>119175</xdr:rowOff>
    </xdr:from>
    <xdr:to>
      <xdr:col>11</xdr:col>
      <xdr:colOff>323850</xdr:colOff>
      <xdr:row>6</xdr:row>
      <xdr:rowOff>103118</xdr:rowOff>
    </xdr:to>
    <xdr:pic>
      <xdr:nvPicPr>
        <xdr:cNvPr id="28" name="Imagen 27" descr="Olympe et le plafond de verre - page 11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515" r="26768"/>
        <a:stretch/>
      </xdr:blipFill>
      <xdr:spPr>
        <a:xfrm>
          <a:off x="8220076" y="957375"/>
          <a:ext cx="190499" cy="393518"/>
        </a:xfrm>
        <a:prstGeom prst="rect">
          <a:avLst/>
        </a:prstGeom>
      </xdr:spPr>
    </xdr:pic>
    <xdr:clientData/>
  </xdr:twoCellAnchor>
  <xdr:twoCellAnchor>
    <xdr:from>
      <xdr:col>8</xdr:col>
      <xdr:colOff>76201</xdr:colOff>
      <xdr:row>2</xdr:row>
      <xdr:rowOff>123825</xdr:rowOff>
    </xdr:from>
    <xdr:to>
      <xdr:col>11</xdr:col>
      <xdr:colOff>1000125</xdr:colOff>
      <xdr:row>3</xdr:row>
      <xdr:rowOff>200025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>
          <a:off x="6162676" y="514350"/>
          <a:ext cx="3000374" cy="276225"/>
        </a:xfrm>
        <a:prstGeom prst="rect">
          <a:avLst/>
        </a:prstGeom>
        <a:solidFill>
          <a:srgbClr val="FFC000"/>
        </a:soli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latin typeface="Bahnschrift SemiBold" panose="020B0502040204020203" pitchFamily="34" charset="0"/>
            </a:rPr>
            <a:t>INDICE</a:t>
          </a:r>
          <a:r>
            <a:rPr lang="en-US" sz="1100" baseline="0">
              <a:solidFill>
                <a:schemeClr val="tx1"/>
              </a:solidFill>
              <a:latin typeface="Bahnschrift SemiBold" panose="020B0502040204020203" pitchFamily="34" charset="0"/>
            </a:rPr>
            <a:t> DE MASA CORPORAL REAL</a:t>
          </a:r>
          <a:endParaRPr lang="en-US">
            <a:effectLst/>
          </a:endParaRPr>
        </a:p>
        <a:p>
          <a:pPr algn="ctr"/>
          <a:endParaRPr lang="en-US" sz="1100">
            <a:solidFill>
              <a:schemeClr val="tx1"/>
            </a:solidFill>
            <a:latin typeface="Bahnschrift SemiBold" panose="020B0502040204020203" pitchFamily="34" charset="0"/>
          </a:endParaRPr>
        </a:p>
      </xdr:txBody>
    </xdr:sp>
    <xdr:clientData/>
  </xdr:twoCellAnchor>
  <xdr:twoCellAnchor>
    <xdr:from>
      <xdr:col>8</xdr:col>
      <xdr:colOff>461909</xdr:colOff>
      <xdr:row>23</xdr:row>
      <xdr:rowOff>40321</xdr:rowOff>
    </xdr:from>
    <xdr:to>
      <xdr:col>11</xdr:col>
      <xdr:colOff>920841</xdr:colOff>
      <xdr:row>24</xdr:row>
      <xdr:rowOff>124205</xdr:rowOff>
    </xdr:to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 rot="5400000">
          <a:off x="7758547" y="3385706"/>
          <a:ext cx="274384" cy="2692977"/>
        </a:xfrm>
        <a:prstGeom prst="rect">
          <a:avLst/>
        </a:prstGeom>
        <a:solidFill>
          <a:srgbClr val="FFC000"/>
        </a:soli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vert="vert270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ysClr val="windowText" lastClr="000000"/>
              </a:solidFill>
              <a:effectLst/>
              <a:latin typeface="Bahnschrift SemiBold" panose="020B0502040204020203" pitchFamily="34" charset="0"/>
            </a:rPr>
            <a:t>SOMATOTIPO DE LA PERSONA</a:t>
          </a:r>
          <a:endParaRPr lang="en-US" sz="1100">
            <a:solidFill>
              <a:schemeClr val="tx1"/>
            </a:solidFill>
            <a:latin typeface="Bahnschrift SemiBold" panose="020B0502040204020203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85725</xdr:colOff>
          <xdr:row>16</xdr:row>
          <xdr:rowOff>161925</xdr:rowOff>
        </xdr:from>
        <xdr:to>
          <xdr:col>2</xdr:col>
          <xdr:colOff>57150</xdr:colOff>
          <xdr:row>24</xdr:row>
          <xdr:rowOff>123825</xdr:rowOff>
        </xdr:to>
        <xdr:pic>
          <xdr:nvPicPr>
            <xdr:cNvPr id="12" name="Imagen 11" descr="Massimo Dutti - Vestidos e macacões para a primavera | Mad ...">
              <a:extLst>
                <a:ext uri="{FF2B5EF4-FFF2-40B4-BE49-F238E27FC236}">
                  <a16:creationId xmlns:a16="http://schemas.microsoft.com/office/drawing/2014/main" id="{00000000-0008-0000-0200-00000C000000}"/>
                </a:ext>
              </a:extLst>
            </xdr:cNvPr>
            <xdr:cNvPicPr preferRelativeResize="0">
              <a:picLocks/>
              <a:extLst>
                <a:ext uri="{84589F7E-364E-4C9E-8A38-B11213B215E9}">
                  <a14:cameraTool cellRange="imgEstado" spid="_x0000_s2182"/>
                </a:ext>
              </a:extLst>
            </xdr:cNvPicPr>
          </xdr:nvPicPr>
          <xdr:blipFill rotWithShape="1">
            <a:blip xmlns:r="http://schemas.openxmlformats.org/officeDocument/2006/relationships" r:embed="rId7"/>
            <a:srcRect/>
            <a:stretch>
              <a:fillRect/>
            </a:stretch>
          </xdr:blipFill>
          <xdr:spPr>
            <a:xfrm>
              <a:off x="847725" y="3400425"/>
              <a:ext cx="733425" cy="1495425"/>
            </a:xfrm>
            <a:prstGeom prst="roundRect">
              <a:avLst>
                <a:gd name="adj" fmla="val 8594"/>
              </a:avLst>
            </a:prstGeom>
            <a:solidFill>
              <a:srgbClr val="FFFFFF">
                <a:shade val="85000"/>
              </a:srgbClr>
            </a:solidFill>
            <a:ln>
              <a:noFill/>
            </a:ln>
            <a:effectLst>
              <a:reflection blurRad="12700" stA="38000" endPos="28000" dist="5000" dir="5400000" sy="-100000" algn="bl" rotWithShape="0"/>
            </a:effectLst>
          </xdr:spPr>
        </xdr:pic>
        <xdr:clientData/>
      </xdr:twoCellAnchor>
    </mc:Choice>
    <mc:Fallback/>
  </mc:AlternateContent>
  <xdr:twoCellAnchor editAs="oneCell">
    <xdr:from>
      <xdr:col>7</xdr:col>
      <xdr:colOff>15875</xdr:colOff>
      <xdr:row>13</xdr:row>
      <xdr:rowOff>142875</xdr:rowOff>
    </xdr:from>
    <xdr:to>
      <xdr:col>8</xdr:col>
      <xdr:colOff>88899</xdr:colOff>
      <xdr:row>15</xdr:row>
      <xdr:rowOff>33336</xdr:rowOff>
    </xdr:to>
    <xdr:pic>
      <xdr:nvPicPr>
        <xdr:cNvPr id="3" name="Gráfico 2" descr="Dos mujeres">
          <a:extLst>
            <a:ext uri="{FF2B5EF4-FFF2-40B4-BE49-F238E27FC236}">
              <a16:creationId xmlns:a16="http://schemas.microsoft.com/office/drawing/2014/main" id="{CB30A413-B786-4B5E-B8F0-967D557FA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5897563" y="2809875"/>
          <a:ext cx="279399" cy="279399"/>
        </a:xfrm>
        <a:prstGeom prst="rect">
          <a:avLst/>
        </a:prstGeom>
      </xdr:spPr>
    </xdr:pic>
    <xdr:clientData/>
  </xdr:twoCellAnchor>
  <xdr:twoCellAnchor editAs="oneCell">
    <xdr:from>
      <xdr:col>4</xdr:col>
      <xdr:colOff>6314</xdr:colOff>
      <xdr:row>16</xdr:row>
      <xdr:rowOff>158750</xdr:rowOff>
    </xdr:from>
    <xdr:to>
      <xdr:col>4</xdr:col>
      <xdr:colOff>284090</xdr:colOff>
      <xdr:row>18</xdr:row>
      <xdr:rowOff>47588</xdr:rowOff>
    </xdr:to>
    <xdr:pic>
      <xdr:nvPicPr>
        <xdr:cNvPr id="7" name="Gráfico 6" descr="Intravenoso">
          <a:extLst>
            <a:ext uri="{FF2B5EF4-FFF2-40B4-BE49-F238E27FC236}">
              <a16:creationId xmlns:a16="http://schemas.microsoft.com/office/drawing/2014/main" id="{450E9771-F2B6-41DD-8DF7-3FD49CD15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3054314" y="3413125"/>
          <a:ext cx="277776" cy="277776"/>
        </a:xfrm>
        <a:prstGeom prst="rect">
          <a:avLst/>
        </a:prstGeom>
      </xdr:spPr>
    </xdr:pic>
    <xdr:clientData/>
  </xdr:twoCellAnchor>
  <xdr:twoCellAnchor editAs="oneCell">
    <xdr:from>
      <xdr:col>3</xdr:col>
      <xdr:colOff>4688</xdr:colOff>
      <xdr:row>5</xdr:row>
      <xdr:rowOff>119062</xdr:rowOff>
    </xdr:from>
    <xdr:to>
      <xdr:col>3</xdr:col>
      <xdr:colOff>328463</xdr:colOff>
      <xdr:row>7</xdr:row>
      <xdr:rowOff>46684</xdr:rowOff>
    </xdr:to>
    <xdr:pic>
      <xdr:nvPicPr>
        <xdr:cNvPr id="13" name="Gráfico 12" descr="Esqueleto">
          <a:extLst>
            <a:ext uri="{FF2B5EF4-FFF2-40B4-BE49-F238E27FC236}">
              <a16:creationId xmlns:a16="http://schemas.microsoft.com/office/drawing/2014/main" id="{BD2A5665-EA99-46DC-AF57-C2E7C15B4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2290688" y="1174750"/>
          <a:ext cx="323775" cy="323775"/>
        </a:xfrm>
        <a:prstGeom prst="rect">
          <a:avLst/>
        </a:prstGeom>
      </xdr:spPr>
    </xdr:pic>
    <xdr:clientData/>
  </xdr:twoCellAnchor>
  <xdr:twoCellAnchor editAs="oneCell">
    <xdr:from>
      <xdr:col>4</xdr:col>
      <xdr:colOff>34813</xdr:colOff>
      <xdr:row>9</xdr:row>
      <xdr:rowOff>158749</xdr:rowOff>
    </xdr:from>
    <xdr:to>
      <xdr:col>4</xdr:col>
      <xdr:colOff>304690</xdr:colOff>
      <xdr:row>11</xdr:row>
      <xdr:rowOff>39689</xdr:rowOff>
    </xdr:to>
    <xdr:pic>
      <xdr:nvPicPr>
        <xdr:cNvPr id="18" name="Gráfico 17" descr="Correr">
          <a:extLst>
            <a:ext uri="{FF2B5EF4-FFF2-40B4-BE49-F238E27FC236}">
              <a16:creationId xmlns:a16="http://schemas.microsoft.com/office/drawing/2014/main" id="{DFA8B308-F2D1-4E5F-8E38-F91D2AABC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3082813" y="2008187"/>
          <a:ext cx="269877" cy="269877"/>
        </a:xfrm>
        <a:prstGeom prst="rect">
          <a:avLst/>
        </a:prstGeom>
      </xdr:spPr>
    </xdr:pic>
    <xdr:clientData/>
  </xdr:twoCellAnchor>
  <xdr:twoCellAnchor editAs="oneCell">
    <xdr:from>
      <xdr:col>1</xdr:col>
      <xdr:colOff>508779</xdr:colOff>
      <xdr:row>14</xdr:row>
      <xdr:rowOff>152367</xdr:rowOff>
    </xdr:from>
    <xdr:to>
      <xdr:col>1</xdr:col>
      <xdr:colOff>745351</xdr:colOff>
      <xdr:row>15</xdr:row>
      <xdr:rowOff>190501</xdr:rowOff>
    </xdr:to>
    <xdr:pic>
      <xdr:nvPicPr>
        <xdr:cNvPr id="29" name="Gráfico 28" descr="Báscula">
          <a:extLst>
            <a:ext uri="{FF2B5EF4-FFF2-40B4-BE49-F238E27FC236}">
              <a16:creationId xmlns:a16="http://schemas.microsoft.com/office/drawing/2014/main" id="{7D896C11-F04C-41D6-B119-76DC994C8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270779" y="3009867"/>
          <a:ext cx="236572" cy="236572"/>
        </a:xfrm>
        <a:prstGeom prst="rect">
          <a:avLst/>
        </a:prstGeom>
      </xdr:spPr>
    </xdr:pic>
    <xdr:clientData/>
  </xdr:twoCellAnchor>
  <xdr:twoCellAnchor editAs="oneCell">
    <xdr:from>
      <xdr:col>6</xdr:col>
      <xdr:colOff>919089</xdr:colOff>
      <xdr:row>7</xdr:row>
      <xdr:rowOff>144111</xdr:rowOff>
    </xdr:from>
    <xdr:to>
      <xdr:col>8</xdr:col>
      <xdr:colOff>60615</xdr:colOff>
      <xdr:row>9</xdr:row>
      <xdr:rowOff>39612</xdr:rowOff>
    </xdr:to>
    <xdr:pic>
      <xdr:nvPicPr>
        <xdr:cNvPr id="30" name="Gráfico 29" descr="Esqueleto">
          <a:extLst>
            <a:ext uri="{FF2B5EF4-FFF2-40B4-BE49-F238E27FC236}">
              <a16:creationId xmlns:a16="http://schemas.microsoft.com/office/drawing/2014/main" id="{6F8AF4D0-6D94-4A5C-BAFB-682BC47C5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5863430" y="1581520"/>
          <a:ext cx="284526" cy="285160"/>
        </a:xfrm>
        <a:prstGeom prst="rect">
          <a:avLst/>
        </a:prstGeom>
      </xdr:spPr>
    </xdr:pic>
    <xdr:clientData/>
  </xdr:twoCellAnchor>
  <xdr:twoCellAnchor editAs="oneCell">
    <xdr:from>
      <xdr:col>4</xdr:col>
      <xdr:colOff>31749</xdr:colOff>
      <xdr:row>11</xdr:row>
      <xdr:rowOff>182563</xdr:rowOff>
    </xdr:from>
    <xdr:to>
      <xdr:col>4</xdr:col>
      <xdr:colOff>309562</xdr:colOff>
      <xdr:row>13</xdr:row>
      <xdr:rowOff>50801</xdr:rowOff>
    </xdr:to>
    <xdr:pic>
      <xdr:nvPicPr>
        <xdr:cNvPr id="22" name="Gráfico 21" descr="Batería en carga">
          <a:extLst>
            <a:ext uri="{FF2B5EF4-FFF2-40B4-BE49-F238E27FC236}">
              <a16:creationId xmlns:a16="http://schemas.microsoft.com/office/drawing/2014/main" id="{8ED15D8B-BF6C-43D0-B090-341DD4460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 flipH="1">
          <a:off x="3079749" y="2420938"/>
          <a:ext cx="277813" cy="277813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6</xdr:row>
      <xdr:rowOff>7938</xdr:rowOff>
    </xdr:from>
    <xdr:to>
      <xdr:col>8</xdr:col>
      <xdr:colOff>31750</xdr:colOff>
      <xdr:row>7</xdr:row>
      <xdr:rowOff>16597</xdr:rowOff>
    </xdr:to>
    <xdr:pic>
      <xdr:nvPicPr>
        <xdr:cNvPr id="32" name="Gráfico 31" descr="Cuchillo y tenedor">
          <a:extLst>
            <a:ext uri="{FF2B5EF4-FFF2-40B4-BE49-F238E27FC236}">
              <a16:creationId xmlns:a16="http://schemas.microsoft.com/office/drawing/2014/main" id="{951A93C4-C7C6-41EC-B0D4-764200CA0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5913438" y="1262063"/>
          <a:ext cx="206375" cy="206375"/>
        </a:xfrm>
        <a:prstGeom prst="rect">
          <a:avLst/>
        </a:prstGeom>
      </xdr:spPr>
    </xdr:pic>
    <xdr:clientData/>
  </xdr:twoCellAnchor>
  <xdr:twoCellAnchor editAs="oneCell">
    <xdr:from>
      <xdr:col>2</xdr:col>
      <xdr:colOff>362658</xdr:colOff>
      <xdr:row>7</xdr:row>
      <xdr:rowOff>147205</xdr:rowOff>
    </xdr:from>
    <xdr:to>
      <xdr:col>2</xdr:col>
      <xdr:colOff>666748</xdr:colOff>
      <xdr:row>9</xdr:row>
      <xdr:rowOff>62200</xdr:rowOff>
    </xdr:to>
    <xdr:pic>
      <xdr:nvPicPr>
        <xdr:cNvPr id="34" name="Gráfico 33" descr="Cubierto de mesa">
          <a:extLst>
            <a:ext uri="{FF2B5EF4-FFF2-40B4-BE49-F238E27FC236}">
              <a16:creationId xmlns:a16="http://schemas.microsoft.com/office/drawing/2014/main" id="{42CC1E0E-7BA1-462F-9705-9E14B78CE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3"/>
            </a:ext>
          </a:extLst>
        </a:blip>
        <a:stretch>
          <a:fillRect/>
        </a:stretch>
      </xdr:blipFill>
      <xdr:spPr>
        <a:xfrm>
          <a:off x="1886658" y="1584614"/>
          <a:ext cx="304090" cy="304654"/>
        </a:xfrm>
        <a:prstGeom prst="rect">
          <a:avLst/>
        </a:prstGeom>
      </xdr:spPr>
    </xdr:pic>
    <xdr:clientData/>
  </xdr:twoCellAnchor>
  <xdr:twoCellAnchor editAs="oneCell">
    <xdr:from>
      <xdr:col>4</xdr:col>
      <xdr:colOff>38872</xdr:colOff>
      <xdr:row>14</xdr:row>
      <xdr:rowOff>174621</xdr:rowOff>
    </xdr:from>
    <xdr:to>
      <xdr:col>4</xdr:col>
      <xdr:colOff>285710</xdr:colOff>
      <xdr:row>16</xdr:row>
      <xdr:rowOff>24584</xdr:rowOff>
    </xdr:to>
    <xdr:pic>
      <xdr:nvPicPr>
        <xdr:cNvPr id="36" name="Gráfico 35" descr="Regla">
          <a:extLst>
            <a:ext uri="{FF2B5EF4-FFF2-40B4-BE49-F238E27FC236}">
              <a16:creationId xmlns:a16="http://schemas.microsoft.com/office/drawing/2014/main" id="{CDCC914A-03F8-4046-A971-58767A19B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5"/>
            </a:ext>
          </a:extLst>
        </a:blip>
        <a:stretch>
          <a:fillRect/>
        </a:stretch>
      </xdr:blipFill>
      <xdr:spPr>
        <a:xfrm>
          <a:off x="3086872" y="3032121"/>
          <a:ext cx="246838" cy="246838"/>
        </a:xfrm>
        <a:prstGeom prst="rect">
          <a:avLst/>
        </a:prstGeom>
      </xdr:spPr>
    </xdr:pic>
    <xdr:clientData/>
  </xdr:twoCellAnchor>
  <xdr:twoCellAnchor>
    <xdr:from>
      <xdr:col>8</xdr:col>
      <xdr:colOff>370502</xdr:colOff>
      <xdr:row>6</xdr:row>
      <xdr:rowOff>88652</xdr:rowOff>
    </xdr:from>
    <xdr:to>
      <xdr:col>11</xdr:col>
      <xdr:colOff>944719</xdr:colOff>
      <xdr:row>7</xdr:row>
      <xdr:rowOff>191</xdr:rowOff>
    </xdr:to>
    <xdr:grpSp>
      <xdr:nvGrpSpPr>
        <xdr:cNvPr id="106" name="Grupo 105">
          <a:extLst>
            <a:ext uri="{FF2B5EF4-FFF2-40B4-BE49-F238E27FC236}">
              <a16:creationId xmlns:a16="http://schemas.microsoft.com/office/drawing/2014/main" id="{FFB8AB20-6269-457D-A565-F2665E9D09AF}"/>
            </a:ext>
          </a:extLst>
        </xdr:cNvPr>
        <xdr:cNvGrpSpPr/>
      </xdr:nvGrpSpPr>
      <xdr:grpSpPr>
        <a:xfrm>
          <a:off x="6457843" y="1326902"/>
          <a:ext cx="2808262" cy="110698"/>
          <a:chOff x="6465170" y="1295233"/>
          <a:chExt cx="2652399" cy="123810"/>
        </a:xfrm>
      </xdr:grpSpPr>
      <xdr:cxnSp macro="">
        <xdr:nvCxnSpPr>
          <xdr:cNvPr id="42" name="Conector recto 41">
            <a:extLst>
              <a:ext uri="{FF2B5EF4-FFF2-40B4-BE49-F238E27FC236}">
                <a16:creationId xmlns:a16="http://schemas.microsoft.com/office/drawing/2014/main" id="{3038EC48-7861-447B-A4BA-4D3B338D4E62}"/>
              </a:ext>
            </a:extLst>
          </xdr:cNvPr>
          <xdr:cNvCxnSpPr/>
        </xdr:nvCxnSpPr>
        <xdr:spPr>
          <a:xfrm>
            <a:off x="7246216" y="1303191"/>
            <a:ext cx="0" cy="1111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3" name="Conector recto 42">
            <a:extLst>
              <a:ext uri="{FF2B5EF4-FFF2-40B4-BE49-F238E27FC236}">
                <a16:creationId xmlns:a16="http://schemas.microsoft.com/office/drawing/2014/main" id="{0664D81C-03D1-49B3-92DD-A181823B23DF}"/>
              </a:ext>
            </a:extLst>
          </xdr:cNvPr>
          <xdr:cNvCxnSpPr/>
        </xdr:nvCxnSpPr>
        <xdr:spPr>
          <a:xfrm>
            <a:off x="6771543" y="1304773"/>
            <a:ext cx="0" cy="1111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5" name="Conector recto 44">
            <a:extLst>
              <a:ext uri="{FF2B5EF4-FFF2-40B4-BE49-F238E27FC236}">
                <a16:creationId xmlns:a16="http://schemas.microsoft.com/office/drawing/2014/main" id="{70C01D4E-E5A3-4C29-8BF3-F185AC3A9454}"/>
              </a:ext>
            </a:extLst>
          </xdr:cNvPr>
          <xdr:cNvCxnSpPr/>
        </xdr:nvCxnSpPr>
        <xdr:spPr>
          <a:xfrm>
            <a:off x="7675272" y="1300001"/>
            <a:ext cx="0" cy="1111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6" name="Conector recto 45">
            <a:extLst>
              <a:ext uri="{FF2B5EF4-FFF2-40B4-BE49-F238E27FC236}">
                <a16:creationId xmlns:a16="http://schemas.microsoft.com/office/drawing/2014/main" id="{DDD3123E-8E69-428F-AF74-76B7F15B9BFC}"/>
              </a:ext>
            </a:extLst>
          </xdr:cNvPr>
          <xdr:cNvCxnSpPr/>
        </xdr:nvCxnSpPr>
        <xdr:spPr>
          <a:xfrm>
            <a:off x="7974160" y="1301587"/>
            <a:ext cx="0" cy="1111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7" name="Conector recto 46">
            <a:extLst>
              <a:ext uri="{FF2B5EF4-FFF2-40B4-BE49-F238E27FC236}">
                <a16:creationId xmlns:a16="http://schemas.microsoft.com/office/drawing/2014/main" id="{DAE8BB6F-BE29-42E1-A324-781E51BD798A}"/>
              </a:ext>
            </a:extLst>
          </xdr:cNvPr>
          <xdr:cNvCxnSpPr/>
        </xdr:nvCxnSpPr>
        <xdr:spPr>
          <a:xfrm>
            <a:off x="8273044" y="1295233"/>
            <a:ext cx="0" cy="1111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8" name="Conector recto 47">
            <a:extLst>
              <a:ext uri="{FF2B5EF4-FFF2-40B4-BE49-F238E27FC236}">
                <a16:creationId xmlns:a16="http://schemas.microsoft.com/office/drawing/2014/main" id="{9250E5CC-BCAC-4AF8-818C-43AAAB47FAAD}"/>
              </a:ext>
            </a:extLst>
          </xdr:cNvPr>
          <xdr:cNvCxnSpPr/>
        </xdr:nvCxnSpPr>
        <xdr:spPr>
          <a:xfrm>
            <a:off x="8576260" y="1296813"/>
            <a:ext cx="0" cy="1111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0" name="Conector recto 49">
            <a:extLst>
              <a:ext uri="{FF2B5EF4-FFF2-40B4-BE49-F238E27FC236}">
                <a16:creationId xmlns:a16="http://schemas.microsoft.com/office/drawing/2014/main" id="{2A638D2A-7F5A-4ABC-A0EC-1D065F1DEE9D}"/>
              </a:ext>
            </a:extLst>
          </xdr:cNvPr>
          <xdr:cNvCxnSpPr/>
        </xdr:nvCxnSpPr>
        <xdr:spPr>
          <a:xfrm>
            <a:off x="6465170" y="1307918"/>
            <a:ext cx="0" cy="1111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5" name="Conector recto 54">
            <a:extLst>
              <a:ext uri="{FF2B5EF4-FFF2-40B4-BE49-F238E27FC236}">
                <a16:creationId xmlns:a16="http://schemas.microsoft.com/office/drawing/2014/main" id="{AE639D30-6EE5-4AD2-98F1-D9406E1572A1}"/>
              </a:ext>
            </a:extLst>
          </xdr:cNvPr>
          <xdr:cNvCxnSpPr/>
        </xdr:nvCxnSpPr>
        <xdr:spPr>
          <a:xfrm flipH="1">
            <a:off x="7369316" y="1339273"/>
            <a:ext cx="3179" cy="76136"/>
          </a:xfrm>
          <a:prstGeom prst="line">
            <a:avLst/>
          </a:prstGeom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59" name="Conector recto 58">
            <a:extLst>
              <a:ext uri="{FF2B5EF4-FFF2-40B4-BE49-F238E27FC236}">
                <a16:creationId xmlns:a16="http://schemas.microsoft.com/office/drawing/2014/main" id="{F0D0555C-4DC6-415C-B43D-7A276DE16F6F}"/>
              </a:ext>
            </a:extLst>
          </xdr:cNvPr>
          <xdr:cNvCxnSpPr/>
        </xdr:nvCxnSpPr>
        <xdr:spPr>
          <a:xfrm>
            <a:off x="8875131" y="1298348"/>
            <a:ext cx="0" cy="1111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1" name="Conector recto 60">
            <a:extLst>
              <a:ext uri="{FF2B5EF4-FFF2-40B4-BE49-F238E27FC236}">
                <a16:creationId xmlns:a16="http://schemas.microsoft.com/office/drawing/2014/main" id="{A22C1F53-2571-40C6-B856-9A68F3282F8B}"/>
              </a:ext>
            </a:extLst>
          </xdr:cNvPr>
          <xdr:cNvCxnSpPr/>
        </xdr:nvCxnSpPr>
        <xdr:spPr>
          <a:xfrm flipH="1">
            <a:off x="7308115" y="1340856"/>
            <a:ext cx="3179" cy="76136"/>
          </a:xfrm>
          <a:prstGeom prst="line">
            <a:avLst/>
          </a:prstGeom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62" name="Conector recto 61">
            <a:extLst>
              <a:ext uri="{FF2B5EF4-FFF2-40B4-BE49-F238E27FC236}">
                <a16:creationId xmlns:a16="http://schemas.microsoft.com/office/drawing/2014/main" id="{DF6A3C82-B323-4390-8287-D08AA1BF5FCD}"/>
              </a:ext>
            </a:extLst>
          </xdr:cNvPr>
          <xdr:cNvCxnSpPr/>
        </xdr:nvCxnSpPr>
        <xdr:spPr>
          <a:xfrm flipH="1">
            <a:off x="7431650" y="1338109"/>
            <a:ext cx="3179" cy="76136"/>
          </a:xfrm>
          <a:prstGeom prst="line">
            <a:avLst/>
          </a:prstGeom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64" name="Conector recto 63">
            <a:extLst>
              <a:ext uri="{FF2B5EF4-FFF2-40B4-BE49-F238E27FC236}">
                <a16:creationId xmlns:a16="http://schemas.microsoft.com/office/drawing/2014/main" id="{0ECDF867-DC5D-4BCC-AE1A-EC939E62FF16}"/>
              </a:ext>
            </a:extLst>
          </xdr:cNvPr>
          <xdr:cNvCxnSpPr/>
        </xdr:nvCxnSpPr>
        <xdr:spPr>
          <a:xfrm flipH="1">
            <a:off x="7488072" y="1336087"/>
            <a:ext cx="3179" cy="76136"/>
          </a:xfrm>
          <a:prstGeom prst="line">
            <a:avLst/>
          </a:prstGeom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65" name="Conector recto 64">
            <a:extLst>
              <a:ext uri="{FF2B5EF4-FFF2-40B4-BE49-F238E27FC236}">
                <a16:creationId xmlns:a16="http://schemas.microsoft.com/office/drawing/2014/main" id="{7EDBF37E-64FA-46A7-B35E-F5CF893F44A8}"/>
              </a:ext>
            </a:extLst>
          </xdr:cNvPr>
          <xdr:cNvCxnSpPr/>
        </xdr:nvCxnSpPr>
        <xdr:spPr>
          <a:xfrm flipH="1">
            <a:off x="7549546" y="1336943"/>
            <a:ext cx="3179" cy="76136"/>
          </a:xfrm>
          <a:prstGeom prst="line">
            <a:avLst/>
          </a:prstGeom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66" name="Conector recto 65">
            <a:extLst>
              <a:ext uri="{FF2B5EF4-FFF2-40B4-BE49-F238E27FC236}">
                <a16:creationId xmlns:a16="http://schemas.microsoft.com/office/drawing/2014/main" id="{309E9D9C-96DD-4C95-8379-5B6539C3448F}"/>
              </a:ext>
            </a:extLst>
          </xdr:cNvPr>
          <xdr:cNvCxnSpPr/>
        </xdr:nvCxnSpPr>
        <xdr:spPr>
          <a:xfrm flipH="1">
            <a:off x="7611020" y="1338527"/>
            <a:ext cx="3179" cy="76136"/>
          </a:xfrm>
          <a:prstGeom prst="line">
            <a:avLst/>
          </a:prstGeom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68" name="Conector recto 67">
            <a:extLst>
              <a:ext uri="{FF2B5EF4-FFF2-40B4-BE49-F238E27FC236}">
                <a16:creationId xmlns:a16="http://schemas.microsoft.com/office/drawing/2014/main" id="{FFBA11AE-844A-47F5-A89E-74B7B1943840}"/>
              </a:ext>
            </a:extLst>
          </xdr:cNvPr>
          <xdr:cNvCxnSpPr/>
        </xdr:nvCxnSpPr>
        <xdr:spPr>
          <a:xfrm flipH="1">
            <a:off x="7727338" y="1336502"/>
            <a:ext cx="3179" cy="76136"/>
          </a:xfrm>
          <a:prstGeom prst="line">
            <a:avLst/>
          </a:prstGeom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70" name="Conector recto 69">
            <a:extLst>
              <a:ext uri="{FF2B5EF4-FFF2-40B4-BE49-F238E27FC236}">
                <a16:creationId xmlns:a16="http://schemas.microsoft.com/office/drawing/2014/main" id="{76A7D087-2E4C-42D3-8C05-CE9CAD2B518F}"/>
              </a:ext>
            </a:extLst>
          </xdr:cNvPr>
          <xdr:cNvCxnSpPr/>
        </xdr:nvCxnSpPr>
        <xdr:spPr>
          <a:xfrm flipH="1">
            <a:off x="7792420" y="1338080"/>
            <a:ext cx="3179" cy="76136"/>
          </a:xfrm>
          <a:prstGeom prst="line">
            <a:avLst/>
          </a:prstGeom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71" name="Conector recto 70">
            <a:extLst>
              <a:ext uri="{FF2B5EF4-FFF2-40B4-BE49-F238E27FC236}">
                <a16:creationId xmlns:a16="http://schemas.microsoft.com/office/drawing/2014/main" id="{F2433190-34B7-48F0-9AA0-C9457C633E72}"/>
              </a:ext>
            </a:extLst>
          </xdr:cNvPr>
          <xdr:cNvCxnSpPr/>
        </xdr:nvCxnSpPr>
        <xdr:spPr>
          <a:xfrm flipH="1">
            <a:off x="7849564" y="1339658"/>
            <a:ext cx="3179" cy="76136"/>
          </a:xfrm>
          <a:prstGeom prst="line">
            <a:avLst/>
          </a:prstGeom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72" name="Conector recto 71">
            <a:extLst>
              <a:ext uri="{FF2B5EF4-FFF2-40B4-BE49-F238E27FC236}">
                <a16:creationId xmlns:a16="http://schemas.microsoft.com/office/drawing/2014/main" id="{C695B5F0-C514-4A2C-AD0C-D40A797A8CCD}"/>
              </a:ext>
            </a:extLst>
          </xdr:cNvPr>
          <xdr:cNvCxnSpPr/>
        </xdr:nvCxnSpPr>
        <xdr:spPr>
          <a:xfrm flipH="1">
            <a:off x="7914646" y="1336906"/>
            <a:ext cx="3179" cy="76136"/>
          </a:xfrm>
          <a:prstGeom prst="line">
            <a:avLst/>
          </a:prstGeom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73" name="Conector recto 72">
            <a:extLst>
              <a:ext uri="{FF2B5EF4-FFF2-40B4-BE49-F238E27FC236}">
                <a16:creationId xmlns:a16="http://schemas.microsoft.com/office/drawing/2014/main" id="{AF8DB25F-4FB9-40E7-B7E6-EA0DCD27716F}"/>
              </a:ext>
            </a:extLst>
          </xdr:cNvPr>
          <xdr:cNvCxnSpPr/>
        </xdr:nvCxnSpPr>
        <xdr:spPr>
          <a:xfrm flipH="1">
            <a:off x="8022618" y="1330150"/>
            <a:ext cx="3179" cy="76136"/>
          </a:xfrm>
          <a:prstGeom prst="line">
            <a:avLst/>
          </a:prstGeom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74" name="Conector recto 73">
            <a:extLst>
              <a:ext uri="{FF2B5EF4-FFF2-40B4-BE49-F238E27FC236}">
                <a16:creationId xmlns:a16="http://schemas.microsoft.com/office/drawing/2014/main" id="{1FE25FFB-00BF-4868-B4ED-952E2A8E81FE}"/>
              </a:ext>
            </a:extLst>
          </xdr:cNvPr>
          <xdr:cNvCxnSpPr/>
        </xdr:nvCxnSpPr>
        <xdr:spPr>
          <a:xfrm flipH="1">
            <a:off x="8087700" y="1327398"/>
            <a:ext cx="3179" cy="76136"/>
          </a:xfrm>
          <a:prstGeom prst="line">
            <a:avLst/>
          </a:prstGeom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75" name="Conector recto 74">
            <a:extLst>
              <a:ext uri="{FF2B5EF4-FFF2-40B4-BE49-F238E27FC236}">
                <a16:creationId xmlns:a16="http://schemas.microsoft.com/office/drawing/2014/main" id="{8432810A-3AE7-49F5-89C5-9AF3B8591B48}"/>
              </a:ext>
            </a:extLst>
          </xdr:cNvPr>
          <xdr:cNvCxnSpPr/>
        </xdr:nvCxnSpPr>
        <xdr:spPr>
          <a:xfrm flipH="1">
            <a:off x="8144844" y="1328976"/>
            <a:ext cx="3179" cy="76136"/>
          </a:xfrm>
          <a:prstGeom prst="line">
            <a:avLst/>
          </a:prstGeom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76" name="Conector recto 75">
            <a:extLst>
              <a:ext uri="{FF2B5EF4-FFF2-40B4-BE49-F238E27FC236}">
                <a16:creationId xmlns:a16="http://schemas.microsoft.com/office/drawing/2014/main" id="{E26F1C1D-A208-4BB1-81CE-F03E89E116BD}"/>
              </a:ext>
            </a:extLst>
          </xdr:cNvPr>
          <xdr:cNvCxnSpPr/>
        </xdr:nvCxnSpPr>
        <xdr:spPr>
          <a:xfrm flipH="1">
            <a:off x="8209926" y="1330554"/>
            <a:ext cx="3179" cy="76136"/>
          </a:xfrm>
          <a:prstGeom prst="line">
            <a:avLst/>
          </a:prstGeom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77" name="Conector recto 76">
            <a:extLst>
              <a:ext uri="{FF2B5EF4-FFF2-40B4-BE49-F238E27FC236}">
                <a16:creationId xmlns:a16="http://schemas.microsoft.com/office/drawing/2014/main" id="{A9678D40-929A-40A9-837E-ACE93802AD23}"/>
              </a:ext>
            </a:extLst>
          </xdr:cNvPr>
          <xdr:cNvCxnSpPr/>
        </xdr:nvCxnSpPr>
        <xdr:spPr>
          <a:xfrm flipH="1">
            <a:off x="8336519" y="1330150"/>
            <a:ext cx="3179" cy="76136"/>
          </a:xfrm>
          <a:prstGeom prst="line">
            <a:avLst/>
          </a:prstGeom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78" name="Conector recto 77">
            <a:extLst>
              <a:ext uri="{FF2B5EF4-FFF2-40B4-BE49-F238E27FC236}">
                <a16:creationId xmlns:a16="http://schemas.microsoft.com/office/drawing/2014/main" id="{142D6B35-7257-4D7E-803D-ED285B6741DD}"/>
              </a:ext>
            </a:extLst>
          </xdr:cNvPr>
          <xdr:cNvCxnSpPr/>
        </xdr:nvCxnSpPr>
        <xdr:spPr>
          <a:xfrm flipH="1">
            <a:off x="8392941" y="1327398"/>
            <a:ext cx="3179" cy="76136"/>
          </a:xfrm>
          <a:prstGeom prst="line">
            <a:avLst/>
          </a:prstGeom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79" name="Conector recto 78">
            <a:extLst>
              <a:ext uri="{FF2B5EF4-FFF2-40B4-BE49-F238E27FC236}">
                <a16:creationId xmlns:a16="http://schemas.microsoft.com/office/drawing/2014/main" id="{A6DC8650-001B-4170-ADEB-312A914024A6}"/>
              </a:ext>
            </a:extLst>
          </xdr:cNvPr>
          <xdr:cNvCxnSpPr/>
        </xdr:nvCxnSpPr>
        <xdr:spPr>
          <a:xfrm flipH="1">
            <a:off x="8454415" y="1328976"/>
            <a:ext cx="3179" cy="76136"/>
          </a:xfrm>
          <a:prstGeom prst="line">
            <a:avLst/>
          </a:prstGeom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80" name="Conector recto 79">
            <a:extLst>
              <a:ext uri="{FF2B5EF4-FFF2-40B4-BE49-F238E27FC236}">
                <a16:creationId xmlns:a16="http://schemas.microsoft.com/office/drawing/2014/main" id="{EA2FACE9-96FC-4AA0-B566-166DE99A47AB}"/>
              </a:ext>
            </a:extLst>
          </xdr:cNvPr>
          <xdr:cNvCxnSpPr/>
        </xdr:nvCxnSpPr>
        <xdr:spPr>
          <a:xfrm flipH="1">
            <a:off x="8515167" y="1330554"/>
            <a:ext cx="3179" cy="76136"/>
          </a:xfrm>
          <a:prstGeom prst="line">
            <a:avLst/>
          </a:prstGeom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85" name="Conector recto 84">
            <a:extLst>
              <a:ext uri="{FF2B5EF4-FFF2-40B4-BE49-F238E27FC236}">
                <a16:creationId xmlns:a16="http://schemas.microsoft.com/office/drawing/2014/main" id="{156C9F91-3D82-4407-8EAD-8E8E74717F0A}"/>
              </a:ext>
            </a:extLst>
          </xdr:cNvPr>
          <xdr:cNvCxnSpPr/>
        </xdr:nvCxnSpPr>
        <xdr:spPr>
          <a:xfrm flipH="1">
            <a:off x="8631803" y="1326684"/>
            <a:ext cx="3179" cy="76136"/>
          </a:xfrm>
          <a:prstGeom prst="line">
            <a:avLst/>
          </a:prstGeom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86" name="Conector recto 85">
            <a:extLst>
              <a:ext uri="{FF2B5EF4-FFF2-40B4-BE49-F238E27FC236}">
                <a16:creationId xmlns:a16="http://schemas.microsoft.com/office/drawing/2014/main" id="{CC9B9E99-5F05-452E-930C-DF4ABC7150A8}"/>
              </a:ext>
            </a:extLst>
          </xdr:cNvPr>
          <xdr:cNvCxnSpPr/>
        </xdr:nvCxnSpPr>
        <xdr:spPr>
          <a:xfrm flipH="1">
            <a:off x="8688225" y="1323932"/>
            <a:ext cx="3179" cy="76136"/>
          </a:xfrm>
          <a:prstGeom prst="line">
            <a:avLst/>
          </a:prstGeom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87" name="Conector recto 86">
            <a:extLst>
              <a:ext uri="{FF2B5EF4-FFF2-40B4-BE49-F238E27FC236}">
                <a16:creationId xmlns:a16="http://schemas.microsoft.com/office/drawing/2014/main" id="{8E3E863B-F6DB-4882-B08C-8F2A8842E83B}"/>
              </a:ext>
            </a:extLst>
          </xdr:cNvPr>
          <xdr:cNvCxnSpPr/>
        </xdr:nvCxnSpPr>
        <xdr:spPr>
          <a:xfrm flipH="1">
            <a:off x="8749699" y="1325510"/>
            <a:ext cx="3179" cy="76136"/>
          </a:xfrm>
          <a:prstGeom prst="line">
            <a:avLst/>
          </a:prstGeom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88" name="Conector recto 87">
            <a:extLst>
              <a:ext uri="{FF2B5EF4-FFF2-40B4-BE49-F238E27FC236}">
                <a16:creationId xmlns:a16="http://schemas.microsoft.com/office/drawing/2014/main" id="{5AEA0651-CC08-4DFC-A706-B2F6ADCE34F3}"/>
              </a:ext>
            </a:extLst>
          </xdr:cNvPr>
          <xdr:cNvCxnSpPr/>
        </xdr:nvCxnSpPr>
        <xdr:spPr>
          <a:xfrm flipH="1">
            <a:off x="8810451" y="1327088"/>
            <a:ext cx="3179" cy="76136"/>
          </a:xfrm>
          <a:prstGeom prst="line">
            <a:avLst/>
          </a:prstGeom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93" name="Conector recto 92">
            <a:extLst>
              <a:ext uri="{FF2B5EF4-FFF2-40B4-BE49-F238E27FC236}">
                <a16:creationId xmlns:a16="http://schemas.microsoft.com/office/drawing/2014/main" id="{AF6A3DB6-CF8B-49EE-8B99-A8185DD624BA}"/>
              </a:ext>
            </a:extLst>
          </xdr:cNvPr>
          <xdr:cNvCxnSpPr/>
        </xdr:nvCxnSpPr>
        <xdr:spPr>
          <a:xfrm flipH="1">
            <a:off x="8935742" y="1327548"/>
            <a:ext cx="3179" cy="76136"/>
          </a:xfrm>
          <a:prstGeom prst="line">
            <a:avLst/>
          </a:prstGeom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94" name="Conector recto 93">
            <a:extLst>
              <a:ext uri="{FF2B5EF4-FFF2-40B4-BE49-F238E27FC236}">
                <a16:creationId xmlns:a16="http://schemas.microsoft.com/office/drawing/2014/main" id="{B36B878D-D5FC-41DB-A25C-0FDA6F8BAB9A}"/>
              </a:ext>
            </a:extLst>
          </xdr:cNvPr>
          <xdr:cNvCxnSpPr/>
        </xdr:nvCxnSpPr>
        <xdr:spPr>
          <a:xfrm flipH="1">
            <a:off x="8992164" y="1324796"/>
            <a:ext cx="3179" cy="76136"/>
          </a:xfrm>
          <a:prstGeom prst="line">
            <a:avLst/>
          </a:prstGeom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95" name="Conector recto 94">
            <a:extLst>
              <a:ext uri="{FF2B5EF4-FFF2-40B4-BE49-F238E27FC236}">
                <a16:creationId xmlns:a16="http://schemas.microsoft.com/office/drawing/2014/main" id="{A846C53C-9B9E-45C0-9773-EE9E58FB3452}"/>
              </a:ext>
            </a:extLst>
          </xdr:cNvPr>
          <xdr:cNvCxnSpPr/>
        </xdr:nvCxnSpPr>
        <xdr:spPr>
          <a:xfrm flipH="1">
            <a:off x="9053638" y="1326374"/>
            <a:ext cx="3179" cy="76136"/>
          </a:xfrm>
          <a:prstGeom prst="line">
            <a:avLst/>
          </a:prstGeom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96" name="Conector recto 95">
            <a:extLst>
              <a:ext uri="{FF2B5EF4-FFF2-40B4-BE49-F238E27FC236}">
                <a16:creationId xmlns:a16="http://schemas.microsoft.com/office/drawing/2014/main" id="{DC902DA2-2526-4223-A166-F08766EA6D81}"/>
              </a:ext>
            </a:extLst>
          </xdr:cNvPr>
          <xdr:cNvCxnSpPr/>
        </xdr:nvCxnSpPr>
        <xdr:spPr>
          <a:xfrm flipH="1">
            <a:off x="9114390" y="1327952"/>
            <a:ext cx="3179" cy="76136"/>
          </a:xfrm>
          <a:prstGeom prst="line">
            <a:avLst/>
          </a:prstGeom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103" name="Conector recto 102">
            <a:extLst>
              <a:ext uri="{FF2B5EF4-FFF2-40B4-BE49-F238E27FC236}">
                <a16:creationId xmlns:a16="http://schemas.microsoft.com/office/drawing/2014/main" id="{BF814405-D248-485B-BE68-CC2ABAC45EDF}"/>
              </a:ext>
            </a:extLst>
          </xdr:cNvPr>
          <xdr:cNvCxnSpPr/>
        </xdr:nvCxnSpPr>
        <xdr:spPr>
          <a:xfrm flipH="1">
            <a:off x="7126428" y="1338790"/>
            <a:ext cx="3179" cy="76136"/>
          </a:xfrm>
          <a:prstGeom prst="line">
            <a:avLst/>
          </a:prstGeom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104" name="Conector recto 103">
            <a:extLst>
              <a:ext uri="{FF2B5EF4-FFF2-40B4-BE49-F238E27FC236}">
                <a16:creationId xmlns:a16="http://schemas.microsoft.com/office/drawing/2014/main" id="{A4904195-A534-4E84-8D5B-E11F7D9B795A}"/>
              </a:ext>
            </a:extLst>
          </xdr:cNvPr>
          <xdr:cNvCxnSpPr/>
        </xdr:nvCxnSpPr>
        <xdr:spPr>
          <a:xfrm flipH="1">
            <a:off x="7187180" y="1334925"/>
            <a:ext cx="3179" cy="76136"/>
          </a:xfrm>
          <a:prstGeom prst="line">
            <a:avLst/>
          </a:prstGeom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105" name="Conector recto 104">
            <a:extLst>
              <a:ext uri="{FF2B5EF4-FFF2-40B4-BE49-F238E27FC236}">
                <a16:creationId xmlns:a16="http://schemas.microsoft.com/office/drawing/2014/main" id="{0B7358F7-6855-4AB4-9A97-77EE4BB567B0}"/>
              </a:ext>
            </a:extLst>
          </xdr:cNvPr>
          <xdr:cNvCxnSpPr/>
        </xdr:nvCxnSpPr>
        <xdr:spPr>
          <a:xfrm>
            <a:off x="7069771" y="1307040"/>
            <a:ext cx="0" cy="1111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0</xdr:colOff>
      <xdr:row>7</xdr:row>
      <xdr:rowOff>0</xdr:rowOff>
    </xdr:from>
    <xdr:to>
      <xdr:col>4</xdr:col>
      <xdr:colOff>3179</xdr:colOff>
      <xdr:row>7</xdr:row>
      <xdr:rowOff>76136</xdr:rowOff>
    </xdr:to>
    <xdr:cxnSp macro="">
      <xdr:nvCxnSpPr>
        <xdr:cNvPr id="67" name="Conector recto 66">
          <a:extLst>
            <a:ext uri="{FF2B5EF4-FFF2-40B4-BE49-F238E27FC236}">
              <a16:creationId xmlns:a16="http://schemas.microsoft.com/office/drawing/2014/main" id="{D7149D1C-324D-4D1D-8C93-03F72925FD0D}"/>
            </a:ext>
          </a:extLst>
        </xdr:cNvPr>
        <xdr:cNvCxnSpPr/>
      </xdr:nvCxnSpPr>
      <xdr:spPr>
        <a:xfrm flipH="1">
          <a:off x="3048000" y="1460500"/>
          <a:ext cx="3179" cy="76136"/>
        </a:xfrm>
        <a:prstGeom prst="line">
          <a:avLst/>
        </a:prstGeom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0</xdr:colOff>
      <xdr:row>11</xdr:row>
      <xdr:rowOff>161925</xdr:rowOff>
    </xdr:from>
    <xdr:to>
      <xdr:col>8</xdr:col>
      <xdr:colOff>85725</xdr:colOff>
      <xdr:row>13</xdr:row>
      <xdr:rowOff>47625</xdr:rowOff>
    </xdr:to>
    <xdr:pic>
      <xdr:nvPicPr>
        <xdr:cNvPr id="108" name="Gráfico 107" descr="Balanza de la justicia">
          <a:extLst>
            <a:ext uri="{FF2B5EF4-FFF2-40B4-BE49-F238E27FC236}">
              <a16:creationId xmlns:a16="http://schemas.microsoft.com/office/drawing/2014/main" id="{EF330060-7D80-40EE-AD27-35372C642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7"/>
            </a:ext>
          </a:extLst>
        </a:blip>
        <a:stretch>
          <a:fillRect/>
        </a:stretch>
      </xdr:blipFill>
      <xdr:spPr>
        <a:xfrm>
          <a:off x="5876925" y="2409825"/>
          <a:ext cx="295275" cy="295275"/>
        </a:xfrm>
        <a:prstGeom prst="rect">
          <a:avLst/>
        </a:prstGeom>
      </xdr:spPr>
    </xdr:pic>
    <xdr:clientData/>
  </xdr:twoCellAnchor>
  <xdr:twoCellAnchor>
    <xdr:from>
      <xdr:col>13</xdr:col>
      <xdr:colOff>143163</xdr:colOff>
      <xdr:row>10</xdr:row>
      <xdr:rowOff>30595</xdr:rowOff>
    </xdr:from>
    <xdr:to>
      <xdr:col>17</xdr:col>
      <xdr:colOff>259773</xdr:colOff>
      <xdr:row>22</xdr:row>
      <xdr:rowOff>86590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3A70024-6F46-4EA2-D710-EA46D20987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</xdr:col>
      <xdr:colOff>171449</xdr:colOff>
      <xdr:row>16</xdr:row>
      <xdr:rowOff>88900</xdr:rowOff>
    </xdr:from>
    <xdr:to>
      <xdr:col>10</xdr:col>
      <xdr:colOff>536574</xdr:colOff>
      <xdr:row>18</xdr:row>
      <xdr:rowOff>73025</xdr:rowOff>
    </xdr:to>
    <xdr:sp macro="" textlink="">
      <xdr:nvSpPr>
        <xdr:cNvPr id="40" name="Forma libre: forma 39">
          <a:extLst>
            <a:ext uri="{FF2B5EF4-FFF2-40B4-BE49-F238E27FC236}">
              <a16:creationId xmlns:a16="http://schemas.microsoft.com/office/drawing/2014/main" id="{3A5972A3-0DEF-4D29-8FB5-D607FD173BB2}"/>
            </a:ext>
          </a:extLst>
        </xdr:cNvPr>
        <xdr:cNvSpPr/>
      </xdr:nvSpPr>
      <xdr:spPr>
        <a:xfrm>
          <a:off x="7531099" y="3352800"/>
          <a:ext cx="365125" cy="377825"/>
        </a:xfrm>
        <a:custGeom>
          <a:avLst/>
          <a:gdLst>
            <a:gd name="connsiteX0" fmla="*/ 476250 w 476250"/>
            <a:gd name="connsiteY0" fmla="*/ 371475 h 609600"/>
            <a:gd name="connsiteX1" fmla="*/ 238125 w 476250"/>
            <a:gd name="connsiteY1" fmla="*/ 609600 h 609600"/>
            <a:gd name="connsiteX2" fmla="*/ 0 w 476250"/>
            <a:gd name="connsiteY2" fmla="*/ 390525 h 609600"/>
            <a:gd name="connsiteX3" fmla="*/ 0 w 476250"/>
            <a:gd name="connsiteY3" fmla="*/ 114300 h 609600"/>
            <a:gd name="connsiteX4" fmla="*/ 238125 w 476250"/>
            <a:gd name="connsiteY4" fmla="*/ 0 h 609600"/>
            <a:gd name="connsiteX5" fmla="*/ 476250 w 476250"/>
            <a:gd name="connsiteY5" fmla="*/ 123825 h 609600"/>
            <a:gd name="connsiteX6" fmla="*/ 476250 w 476250"/>
            <a:gd name="connsiteY6" fmla="*/ 371475 h 609600"/>
            <a:gd name="connsiteX0" fmla="*/ 476250 w 476250"/>
            <a:gd name="connsiteY0" fmla="*/ 371475 h 514350"/>
            <a:gd name="connsiteX1" fmla="*/ 228600 w 476250"/>
            <a:gd name="connsiteY1" fmla="*/ 514350 h 514350"/>
            <a:gd name="connsiteX2" fmla="*/ 0 w 476250"/>
            <a:gd name="connsiteY2" fmla="*/ 390525 h 514350"/>
            <a:gd name="connsiteX3" fmla="*/ 0 w 476250"/>
            <a:gd name="connsiteY3" fmla="*/ 114300 h 514350"/>
            <a:gd name="connsiteX4" fmla="*/ 238125 w 476250"/>
            <a:gd name="connsiteY4" fmla="*/ 0 h 514350"/>
            <a:gd name="connsiteX5" fmla="*/ 476250 w 476250"/>
            <a:gd name="connsiteY5" fmla="*/ 123825 h 514350"/>
            <a:gd name="connsiteX6" fmla="*/ 476250 w 476250"/>
            <a:gd name="connsiteY6" fmla="*/ 371475 h 514350"/>
            <a:gd name="connsiteX0" fmla="*/ 476250 w 476250"/>
            <a:gd name="connsiteY0" fmla="*/ 371475 h 514350"/>
            <a:gd name="connsiteX1" fmla="*/ 238125 w 476250"/>
            <a:gd name="connsiteY1" fmla="*/ 514350 h 514350"/>
            <a:gd name="connsiteX2" fmla="*/ 0 w 476250"/>
            <a:gd name="connsiteY2" fmla="*/ 390525 h 514350"/>
            <a:gd name="connsiteX3" fmla="*/ 0 w 476250"/>
            <a:gd name="connsiteY3" fmla="*/ 114300 h 514350"/>
            <a:gd name="connsiteX4" fmla="*/ 238125 w 476250"/>
            <a:gd name="connsiteY4" fmla="*/ 0 h 514350"/>
            <a:gd name="connsiteX5" fmla="*/ 476250 w 476250"/>
            <a:gd name="connsiteY5" fmla="*/ 123825 h 514350"/>
            <a:gd name="connsiteX6" fmla="*/ 476250 w 476250"/>
            <a:gd name="connsiteY6" fmla="*/ 371475 h 5143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476250" h="514350">
              <a:moveTo>
                <a:pt x="476250" y="371475"/>
              </a:moveTo>
              <a:lnTo>
                <a:pt x="238125" y="514350"/>
              </a:lnTo>
              <a:lnTo>
                <a:pt x="0" y="390525"/>
              </a:lnTo>
              <a:lnTo>
                <a:pt x="0" y="114300"/>
              </a:lnTo>
              <a:lnTo>
                <a:pt x="238125" y="0"/>
              </a:lnTo>
              <a:lnTo>
                <a:pt x="476250" y="123825"/>
              </a:lnTo>
              <a:lnTo>
                <a:pt x="476250" y="371475"/>
              </a:lnTo>
              <a:close/>
            </a:path>
          </a:pathLst>
        </a:custGeom>
        <a:noFill/>
        <a:ln w="12700">
          <a:solidFill>
            <a:schemeClr val="bg1">
              <a:lumMod val="6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13</xdr:col>
      <xdr:colOff>109104</xdr:colOff>
      <xdr:row>8</xdr:row>
      <xdr:rowOff>120362</xdr:rowOff>
    </xdr:from>
    <xdr:to>
      <xdr:col>17</xdr:col>
      <xdr:colOff>213879</xdr:colOff>
      <xdr:row>10</xdr:row>
      <xdr:rowOff>38101</xdr:rowOff>
    </xdr:to>
    <xdr:sp macro="" textlink="">
      <xdr:nvSpPr>
        <xdr:cNvPr id="41" name="Rectángulo 40">
          <a:extLst>
            <a:ext uri="{FF2B5EF4-FFF2-40B4-BE49-F238E27FC236}">
              <a16:creationId xmlns:a16="http://schemas.microsoft.com/office/drawing/2014/main" id="{5354604D-7E84-6F6D-09A2-C9DD2B03953E}"/>
            </a:ext>
          </a:extLst>
        </xdr:cNvPr>
        <xdr:cNvSpPr/>
      </xdr:nvSpPr>
      <xdr:spPr>
        <a:xfrm>
          <a:off x="9582149" y="1748271"/>
          <a:ext cx="3178753" cy="307398"/>
        </a:xfrm>
        <a:prstGeom prst="rect">
          <a:avLst/>
        </a:prstGeom>
        <a:solidFill>
          <a:srgbClr val="FFC000"/>
        </a:soli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 b="1">
              <a:solidFill>
                <a:schemeClr val="tx1"/>
              </a:solidFill>
            </a:rPr>
            <a:t>PROYECCIÓN A UN MES</a:t>
          </a:r>
        </a:p>
      </xdr:txBody>
    </xdr:sp>
    <xdr:clientData/>
  </xdr:twoCellAnchor>
  <xdr:twoCellAnchor>
    <xdr:from>
      <xdr:col>8</xdr:col>
      <xdr:colOff>619125</xdr:colOff>
      <xdr:row>12</xdr:row>
      <xdr:rowOff>0</xdr:rowOff>
    </xdr:from>
    <xdr:to>
      <xdr:col>11</xdr:col>
      <xdr:colOff>409575</xdr:colOff>
      <xdr:row>21</xdr:row>
      <xdr:rowOff>0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D07441F7-7ED8-4C72-BE52-34DB93A92E93}"/>
            </a:ext>
          </a:extLst>
        </xdr:cNvPr>
        <xdr:cNvGrpSpPr/>
      </xdr:nvGrpSpPr>
      <xdr:grpSpPr>
        <a:xfrm>
          <a:off x="6706466" y="2407227"/>
          <a:ext cx="2024495" cy="1766455"/>
          <a:chOff x="8904345" y="2514598"/>
          <a:chExt cx="3068531" cy="2879353"/>
        </a:xfrm>
      </xdr:grpSpPr>
      <xdr:cxnSp macro="">
        <xdr:nvCxnSpPr>
          <xdr:cNvPr id="17" name="Conector recto 16">
            <a:extLst>
              <a:ext uri="{FF2B5EF4-FFF2-40B4-BE49-F238E27FC236}">
                <a16:creationId xmlns:a16="http://schemas.microsoft.com/office/drawing/2014/main" id="{CC04A4C8-59C7-38F6-E1FF-02029F3A283C}"/>
              </a:ext>
            </a:extLst>
          </xdr:cNvPr>
          <xdr:cNvCxnSpPr/>
        </xdr:nvCxnSpPr>
        <xdr:spPr>
          <a:xfrm flipV="1">
            <a:off x="10420350" y="2514601"/>
            <a:ext cx="9525" cy="2847974"/>
          </a:xfrm>
          <a:prstGeom prst="line">
            <a:avLst/>
          </a:prstGeom>
          <a:ln w="9525" cap="flat" cmpd="sng" algn="ctr">
            <a:solidFill>
              <a:schemeClr val="bg1">
                <a:lumMod val="75000"/>
              </a:schemeClr>
            </a:solidFill>
            <a:prstDash val="dash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</xdr:cxnSp>
      <xdr:cxnSp macro="">
        <xdr:nvCxnSpPr>
          <xdr:cNvPr id="19" name="Conector recto 18">
            <a:extLst>
              <a:ext uri="{FF2B5EF4-FFF2-40B4-BE49-F238E27FC236}">
                <a16:creationId xmlns:a16="http://schemas.microsoft.com/office/drawing/2014/main" id="{DB524E6B-FB9B-FD4E-F907-B1F4D5E167F9}"/>
              </a:ext>
            </a:extLst>
          </xdr:cNvPr>
          <xdr:cNvCxnSpPr/>
        </xdr:nvCxnSpPr>
        <xdr:spPr>
          <a:xfrm flipV="1">
            <a:off x="8905875" y="3552825"/>
            <a:ext cx="2781300" cy="1628775"/>
          </a:xfrm>
          <a:prstGeom prst="line">
            <a:avLst/>
          </a:prstGeom>
          <a:ln w="9525" cap="flat" cmpd="sng" algn="ctr">
            <a:solidFill>
              <a:schemeClr val="bg1">
                <a:lumMod val="75000"/>
              </a:schemeClr>
            </a:solidFill>
            <a:prstDash val="dash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</xdr:cxnSp>
      <xdr:cxnSp macro="">
        <xdr:nvCxnSpPr>
          <xdr:cNvPr id="20" name="Conector recto 19">
            <a:extLst>
              <a:ext uri="{FF2B5EF4-FFF2-40B4-BE49-F238E27FC236}">
                <a16:creationId xmlns:a16="http://schemas.microsoft.com/office/drawing/2014/main" id="{DEC61FC3-24EA-4B89-9340-E0DE6F10D276}"/>
              </a:ext>
            </a:extLst>
          </xdr:cNvPr>
          <xdr:cNvCxnSpPr/>
        </xdr:nvCxnSpPr>
        <xdr:spPr>
          <a:xfrm flipH="1" flipV="1">
            <a:off x="9172575" y="3552825"/>
            <a:ext cx="2771775" cy="1628775"/>
          </a:xfrm>
          <a:prstGeom prst="line">
            <a:avLst/>
          </a:prstGeom>
          <a:ln w="9525" cap="flat" cmpd="sng" algn="ctr">
            <a:solidFill>
              <a:schemeClr val="bg1">
                <a:lumMod val="75000"/>
              </a:schemeClr>
            </a:solidFill>
            <a:prstDash val="dash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</xdr:cxnSp>
      <xdr:sp macro="" textlink="">
        <xdr:nvSpPr>
          <xdr:cNvPr id="21" name="Conector fuera de página 18">
            <a:extLst>
              <a:ext uri="{FF2B5EF4-FFF2-40B4-BE49-F238E27FC236}">
                <a16:creationId xmlns:a16="http://schemas.microsoft.com/office/drawing/2014/main" id="{A844F7CA-AD2D-90F4-64E9-EA63757B0621}"/>
              </a:ext>
            </a:extLst>
          </xdr:cNvPr>
          <xdr:cNvSpPr/>
        </xdr:nvSpPr>
        <xdr:spPr>
          <a:xfrm rot="10800000">
            <a:off x="8904345" y="2514598"/>
            <a:ext cx="3068531" cy="2879353"/>
          </a:xfrm>
          <a:custGeom>
            <a:avLst/>
            <a:gdLst>
              <a:gd name="connsiteX0" fmla="*/ 0 w 10000"/>
              <a:gd name="connsiteY0" fmla="*/ 0 h 10000"/>
              <a:gd name="connsiteX1" fmla="*/ 10000 w 10000"/>
              <a:gd name="connsiteY1" fmla="*/ 0 h 10000"/>
              <a:gd name="connsiteX2" fmla="*/ 10000 w 10000"/>
              <a:gd name="connsiteY2" fmla="*/ 8000 h 10000"/>
              <a:gd name="connsiteX3" fmla="*/ 5000 w 10000"/>
              <a:gd name="connsiteY3" fmla="*/ 10000 h 10000"/>
              <a:gd name="connsiteX4" fmla="*/ 0 w 10000"/>
              <a:gd name="connsiteY4" fmla="*/ 8000 h 10000"/>
              <a:gd name="connsiteX5" fmla="*/ 0 w 10000"/>
              <a:gd name="connsiteY5" fmla="*/ 0 h 10000"/>
              <a:gd name="connsiteX0" fmla="*/ 0 w 10000"/>
              <a:gd name="connsiteY0" fmla="*/ 33 h 10033"/>
              <a:gd name="connsiteX1" fmla="*/ 4984 w 10000"/>
              <a:gd name="connsiteY1" fmla="*/ 0 h 10033"/>
              <a:gd name="connsiteX2" fmla="*/ 10000 w 10000"/>
              <a:gd name="connsiteY2" fmla="*/ 33 h 10033"/>
              <a:gd name="connsiteX3" fmla="*/ 10000 w 10000"/>
              <a:gd name="connsiteY3" fmla="*/ 8033 h 10033"/>
              <a:gd name="connsiteX4" fmla="*/ 5000 w 10000"/>
              <a:gd name="connsiteY4" fmla="*/ 10033 h 10033"/>
              <a:gd name="connsiteX5" fmla="*/ 0 w 10000"/>
              <a:gd name="connsiteY5" fmla="*/ 8033 h 10033"/>
              <a:gd name="connsiteX6" fmla="*/ 0 w 10000"/>
              <a:gd name="connsiteY6" fmla="*/ 33 h 10033"/>
              <a:gd name="connsiteX0" fmla="*/ 0 w 10000"/>
              <a:gd name="connsiteY0" fmla="*/ 33 h 10033"/>
              <a:gd name="connsiteX1" fmla="*/ 4984 w 10000"/>
              <a:gd name="connsiteY1" fmla="*/ 0 h 10033"/>
              <a:gd name="connsiteX2" fmla="*/ 10000 w 10000"/>
              <a:gd name="connsiteY2" fmla="*/ 664 h 10033"/>
              <a:gd name="connsiteX3" fmla="*/ 10000 w 10000"/>
              <a:gd name="connsiteY3" fmla="*/ 8033 h 10033"/>
              <a:gd name="connsiteX4" fmla="*/ 5000 w 10000"/>
              <a:gd name="connsiteY4" fmla="*/ 10033 h 10033"/>
              <a:gd name="connsiteX5" fmla="*/ 0 w 10000"/>
              <a:gd name="connsiteY5" fmla="*/ 8033 h 10033"/>
              <a:gd name="connsiteX6" fmla="*/ 0 w 10000"/>
              <a:gd name="connsiteY6" fmla="*/ 33 h 10033"/>
              <a:gd name="connsiteX0" fmla="*/ 0 w 10031"/>
              <a:gd name="connsiteY0" fmla="*/ 565 h 10033"/>
              <a:gd name="connsiteX1" fmla="*/ 5015 w 10031"/>
              <a:gd name="connsiteY1" fmla="*/ 0 h 10033"/>
              <a:gd name="connsiteX2" fmla="*/ 10031 w 10031"/>
              <a:gd name="connsiteY2" fmla="*/ 664 h 10033"/>
              <a:gd name="connsiteX3" fmla="*/ 10031 w 10031"/>
              <a:gd name="connsiteY3" fmla="*/ 8033 h 10033"/>
              <a:gd name="connsiteX4" fmla="*/ 5031 w 10031"/>
              <a:gd name="connsiteY4" fmla="*/ 10033 h 10033"/>
              <a:gd name="connsiteX5" fmla="*/ 31 w 10031"/>
              <a:gd name="connsiteY5" fmla="*/ 8033 h 10033"/>
              <a:gd name="connsiteX6" fmla="*/ 0 w 10031"/>
              <a:gd name="connsiteY6" fmla="*/ 565 h 10033"/>
              <a:gd name="connsiteX0" fmla="*/ 0 w 10031"/>
              <a:gd name="connsiteY0" fmla="*/ 565 h 10033"/>
              <a:gd name="connsiteX1" fmla="*/ 5015 w 10031"/>
              <a:gd name="connsiteY1" fmla="*/ 0 h 10033"/>
              <a:gd name="connsiteX2" fmla="*/ 10031 w 10031"/>
              <a:gd name="connsiteY2" fmla="*/ 664 h 10033"/>
              <a:gd name="connsiteX3" fmla="*/ 10031 w 10031"/>
              <a:gd name="connsiteY3" fmla="*/ 8033 h 10033"/>
              <a:gd name="connsiteX4" fmla="*/ 5031 w 10031"/>
              <a:gd name="connsiteY4" fmla="*/ 10033 h 10033"/>
              <a:gd name="connsiteX5" fmla="*/ 903 w 10031"/>
              <a:gd name="connsiteY5" fmla="*/ 6239 h 10033"/>
              <a:gd name="connsiteX6" fmla="*/ 0 w 10031"/>
              <a:gd name="connsiteY6" fmla="*/ 565 h 10033"/>
              <a:gd name="connsiteX0" fmla="*/ 0 w 10031"/>
              <a:gd name="connsiteY0" fmla="*/ 565 h 10033"/>
              <a:gd name="connsiteX1" fmla="*/ 5015 w 10031"/>
              <a:gd name="connsiteY1" fmla="*/ 0 h 10033"/>
              <a:gd name="connsiteX2" fmla="*/ 10031 w 10031"/>
              <a:gd name="connsiteY2" fmla="*/ 664 h 10033"/>
              <a:gd name="connsiteX3" fmla="*/ 10031 w 10031"/>
              <a:gd name="connsiteY3" fmla="*/ 8033 h 10033"/>
              <a:gd name="connsiteX4" fmla="*/ 5031 w 10031"/>
              <a:gd name="connsiteY4" fmla="*/ 10033 h 10033"/>
              <a:gd name="connsiteX5" fmla="*/ 903 w 10031"/>
              <a:gd name="connsiteY5" fmla="*/ 6239 h 10033"/>
              <a:gd name="connsiteX6" fmla="*/ 0 w 10031"/>
              <a:gd name="connsiteY6" fmla="*/ 565 h 10033"/>
              <a:gd name="connsiteX0" fmla="*/ 0 w 10031"/>
              <a:gd name="connsiteY0" fmla="*/ 565 h 10033"/>
              <a:gd name="connsiteX1" fmla="*/ 5015 w 10031"/>
              <a:gd name="connsiteY1" fmla="*/ 0 h 10033"/>
              <a:gd name="connsiteX2" fmla="*/ 10031 w 10031"/>
              <a:gd name="connsiteY2" fmla="*/ 664 h 10033"/>
              <a:gd name="connsiteX3" fmla="*/ 9159 w 10031"/>
              <a:gd name="connsiteY3" fmla="*/ 6372 h 10033"/>
              <a:gd name="connsiteX4" fmla="*/ 5031 w 10031"/>
              <a:gd name="connsiteY4" fmla="*/ 10033 h 10033"/>
              <a:gd name="connsiteX5" fmla="*/ 903 w 10031"/>
              <a:gd name="connsiteY5" fmla="*/ 6239 h 10033"/>
              <a:gd name="connsiteX6" fmla="*/ 0 w 10031"/>
              <a:gd name="connsiteY6" fmla="*/ 565 h 10033"/>
              <a:gd name="connsiteX0" fmla="*/ 0 w 10031"/>
              <a:gd name="connsiteY0" fmla="*/ 565 h 10033"/>
              <a:gd name="connsiteX1" fmla="*/ 5015 w 10031"/>
              <a:gd name="connsiteY1" fmla="*/ 0 h 10033"/>
              <a:gd name="connsiteX2" fmla="*/ 10031 w 10031"/>
              <a:gd name="connsiteY2" fmla="*/ 664 h 10033"/>
              <a:gd name="connsiteX3" fmla="*/ 9159 w 10031"/>
              <a:gd name="connsiteY3" fmla="*/ 6372 h 10033"/>
              <a:gd name="connsiteX4" fmla="*/ 5031 w 10031"/>
              <a:gd name="connsiteY4" fmla="*/ 10033 h 10033"/>
              <a:gd name="connsiteX5" fmla="*/ 903 w 10031"/>
              <a:gd name="connsiteY5" fmla="*/ 6239 h 10033"/>
              <a:gd name="connsiteX6" fmla="*/ 0 w 10031"/>
              <a:gd name="connsiteY6" fmla="*/ 565 h 10033"/>
              <a:gd name="connsiteX0" fmla="*/ 0 w 10036"/>
              <a:gd name="connsiteY0" fmla="*/ 565 h 10033"/>
              <a:gd name="connsiteX1" fmla="*/ 5015 w 10036"/>
              <a:gd name="connsiteY1" fmla="*/ 0 h 10033"/>
              <a:gd name="connsiteX2" fmla="*/ 10031 w 10036"/>
              <a:gd name="connsiteY2" fmla="*/ 664 h 10033"/>
              <a:gd name="connsiteX3" fmla="*/ 9159 w 10036"/>
              <a:gd name="connsiteY3" fmla="*/ 6372 h 10033"/>
              <a:gd name="connsiteX4" fmla="*/ 5031 w 10036"/>
              <a:gd name="connsiteY4" fmla="*/ 10033 h 10033"/>
              <a:gd name="connsiteX5" fmla="*/ 903 w 10036"/>
              <a:gd name="connsiteY5" fmla="*/ 6239 h 10033"/>
              <a:gd name="connsiteX6" fmla="*/ 0 w 10036"/>
              <a:gd name="connsiteY6" fmla="*/ 565 h 10033"/>
              <a:gd name="connsiteX0" fmla="*/ 0 w 10036"/>
              <a:gd name="connsiteY0" fmla="*/ 565 h 10033"/>
              <a:gd name="connsiteX1" fmla="*/ 5015 w 10036"/>
              <a:gd name="connsiteY1" fmla="*/ 0 h 10033"/>
              <a:gd name="connsiteX2" fmla="*/ 10031 w 10036"/>
              <a:gd name="connsiteY2" fmla="*/ 664 h 10033"/>
              <a:gd name="connsiteX3" fmla="*/ 9159 w 10036"/>
              <a:gd name="connsiteY3" fmla="*/ 6372 h 10033"/>
              <a:gd name="connsiteX4" fmla="*/ 5031 w 10036"/>
              <a:gd name="connsiteY4" fmla="*/ 10033 h 10033"/>
              <a:gd name="connsiteX5" fmla="*/ 903 w 10036"/>
              <a:gd name="connsiteY5" fmla="*/ 6239 h 10033"/>
              <a:gd name="connsiteX6" fmla="*/ 0 w 10036"/>
              <a:gd name="connsiteY6" fmla="*/ 565 h 10033"/>
              <a:gd name="connsiteX0" fmla="*/ 0 w 10036"/>
              <a:gd name="connsiteY0" fmla="*/ 566 h 10034"/>
              <a:gd name="connsiteX1" fmla="*/ 5015 w 10036"/>
              <a:gd name="connsiteY1" fmla="*/ 1 h 10034"/>
              <a:gd name="connsiteX2" fmla="*/ 10031 w 10036"/>
              <a:gd name="connsiteY2" fmla="*/ 665 h 10034"/>
              <a:gd name="connsiteX3" fmla="*/ 9159 w 10036"/>
              <a:gd name="connsiteY3" fmla="*/ 6373 h 10034"/>
              <a:gd name="connsiteX4" fmla="*/ 5031 w 10036"/>
              <a:gd name="connsiteY4" fmla="*/ 10034 h 10034"/>
              <a:gd name="connsiteX5" fmla="*/ 903 w 10036"/>
              <a:gd name="connsiteY5" fmla="*/ 6240 h 10034"/>
              <a:gd name="connsiteX6" fmla="*/ 0 w 10036"/>
              <a:gd name="connsiteY6" fmla="*/ 566 h 10034"/>
              <a:gd name="connsiteX0" fmla="*/ 0 w 10036"/>
              <a:gd name="connsiteY0" fmla="*/ 566 h 10034"/>
              <a:gd name="connsiteX1" fmla="*/ 5015 w 10036"/>
              <a:gd name="connsiteY1" fmla="*/ 1 h 10034"/>
              <a:gd name="connsiteX2" fmla="*/ 10031 w 10036"/>
              <a:gd name="connsiteY2" fmla="*/ 665 h 10034"/>
              <a:gd name="connsiteX3" fmla="*/ 9159 w 10036"/>
              <a:gd name="connsiteY3" fmla="*/ 6373 h 10034"/>
              <a:gd name="connsiteX4" fmla="*/ 5031 w 10036"/>
              <a:gd name="connsiteY4" fmla="*/ 10034 h 10034"/>
              <a:gd name="connsiteX5" fmla="*/ 903 w 10036"/>
              <a:gd name="connsiteY5" fmla="*/ 6240 h 10034"/>
              <a:gd name="connsiteX6" fmla="*/ 0 w 10036"/>
              <a:gd name="connsiteY6" fmla="*/ 566 h 10034"/>
              <a:gd name="connsiteX0" fmla="*/ 0 w 10036"/>
              <a:gd name="connsiteY0" fmla="*/ 575 h 10043"/>
              <a:gd name="connsiteX1" fmla="*/ 5015 w 10036"/>
              <a:gd name="connsiteY1" fmla="*/ 10 h 10043"/>
              <a:gd name="connsiteX2" fmla="*/ 10031 w 10036"/>
              <a:gd name="connsiteY2" fmla="*/ 674 h 10043"/>
              <a:gd name="connsiteX3" fmla="*/ 9159 w 10036"/>
              <a:gd name="connsiteY3" fmla="*/ 6382 h 10043"/>
              <a:gd name="connsiteX4" fmla="*/ 5031 w 10036"/>
              <a:gd name="connsiteY4" fmla="*/ 10043 h 10043"/>
              <a:gd name="connsiteX5" fmla="*/ 903 w 10036"/>
              <a:gd name="connsiteY5" fmla="*/ 6249 h 10043"/>
              <a:gd name="connsiteX6" fmla="*/ 0 w 10036"/>
              <a:gd name="connsiteY6" fmla="*/ 575 h 10043"/>
              <a:gd name="connsiteX0" fmla="*/ 0 w 10036"/>
              <a:gd name="connsiteY0" fmla="*/ 575 h 10043"/>
              <a:gd name="connsiteX1" fmla="*/ 5015 w 10036"/>
              <a:gd name="connsiteY1" fmla="*/ 10 h 10043"/>
              <a:gd name="connsiteX2" fmla="*/ 10031 w 10036"/>
              <a:gd name="connsiteY2" fmla="*/ 674 h 10043"/>
              <a:gd name="connsiteX3" fmla="*/ 9159 w 10036"/>
              <a:gd name="connsiteY3" fmla="*/ 6382 h 10043"/>
              <a:gd name="connsiteX4" fmla="*/ 5031 w 10036"/>
              <a:gd name="connsiteY4" fmla="*/ 10043 h 10043"/>
              <a:gd name="connsiteX5" fmla="*/ 903 w 10036"/>
              <a:gd name="connsiteY5" fmla="*/ 6249 h 10043"/>
              <a:gd name="connsiteX6" fmla="*/ 0 w 10036"/>
              <a:gd name="connsiteY6" fmla="*/ 575 h 10043"/>
              <a:gd name="connsiteX0" fmla="*/ 0 w 10036"/>
              <a:gd name="connsiteY0" fmla="*/ 575 h 10043"/>
              <a:gd name="connsiteX1" fmla="*/ 5015 w 10036"/>
              <a:gd name="connsiteY1" fmla="*/ 10 h 10043"/>
              <a:gd name="connsiteX2" fmla="*/ 10031 w 10036"/>
              <a:gd name="connsiteY2" fmla="*/ 674 h 10043"/>
              <a:gd name="connsiteX3" fmla="*/ 9159 w 10036"/>
              <a:gd name="connsiteY3" fmla="*/ 6382 h 10043"/>
              <a:gd name="connsiteX4" fmla="*/ 5031 w 10036"/>
              <a:gd name="connsiteY4" fmla="*/ 10043 h 10043"/>
              <a:gd name="connsiteX5" fmla="*/ 903 w 10036"/>
              <a:gd name="connsiteY5" fmla="*/ 6249 h 10043"/>
              <a:gd name="connsiteX6" fmla="*/ 0 w 10036"/>
              <a:gd name="connsiteY6" fmla="*/ 575 h 10043"/>
              <a:gd name="connsiteX0" fmla="*/ 0 w 10036"/>
              <a:gd name="connsiteY0" fmla="*/ 575 h 10043"/>
              <a:gd name="connsiteX1" fmla="*/ 5015 w 10036"/>
              <a:gd name="connsiteY1" fmla="*/ 10 h 10043"/>
              <a:gd name="connsiteX2" fmla="*/ 10031 w 10036"/>
              <a:gd name="connsiteY2" fmla="*/ 674 h 10043"/>
              <a:gd name="connsiteX3" fmla="*/ 9159 w 10036"/>
              <a:gd name="connsiteY3" fmla="*/ 6382 h 10043"/>
              <a:gd name="connsiteX4" fmla="*/ 5031 w 10036"/>
              <a:gd name="connsiteY4" fmla="*/ 10043 h 10043"/>
              <a:gd name="connsiteX5" fmla="*/ 903 w 10036"/>
              <a:gd name="connsiteY5" fmla="*/ 6249 h 10043"/>
              <a:gd name="connsiteX6" fmla="*/ 0 w 10036"/>
              <a:gd name="connsiteY6" fmla="*/ 575 h 10043"/>
              <a:gd name="connsiteX0" fmla="*/ 0 w 10036"/>
              <a:gd name="connsiteY0" fmla="*/ 575 h 10043"/>
              <a:gd name="connsiteX1" fmla="*/ 5015 w 10036"/>
              <a:gd name="connsiteY1" fmla="*/ 10 h 10043"/>
              <a:gd name="connsiteX2" fmla="*/ 10031 w 10036"/>
              <a:gd name="connsiteY2" fmla="*/ 674 h 10043"/>
              <a:gd name="connsiteX3" fmla="*/ 9159 w 10036"/>
              <a:gd name="connsiteY3" fmla="*/ 6382 h 10043"/>
              <a:gd name="connsiteX4" fmla="*/ 5031 w 10036"/>
              <a:gd name="connsiteY4" fmla="*/ 10043 h 10043"/>
              <a:gd name="connsiteX5" fmla="*/ 903 w 10036"/>
              <a:gd name="connsiteY5" fmla="*/ 6249 h 10043"/>
              <a:gd name="connsiteX6" fmla="*/ 0 w 10036"/>
              <a:gd name="connsiteY6" fmla="*/ 575 h 10043"/>
              <a:gd name="connsiteX0" fmla="*/ 0 w 10036"/>
              <a:gd name="connsiteY0" fmla="*/ 575 h 10043"/>
              <a:gd name="connsiteX1" fmla="*/ 5015 w 10036"/>
              <a:gd name="connsiteY1" fmla="*/ 10 h 10043"/>
              <a:gd name="connsiteX2" fmla="*/ 10031 w 10036"/>
              <a:gd name="connsiteY2" fmla="*/ 674 h 10043"/>
              <a:gd name="connsiteX3" fmla="*/ 9159 w 10036"/>
              <a:gd name="connsiteY3" fmla="*/ 6382 h 10043"/>
              <a:gd name="connsiteX4" fmla="*/ 5031 w 10036"/>
              <a:gd name="connsiteY4" fmla="*/ 10043 h 10043"/>
              <a:gd name="connsiteX5" fmla="*/ 903 w 10036"/>
              <a:gd name="connsiteY5" fmla="*/ 6249 h 10043"/>
              <a:gd name="connsiteX6" fmla="*/ 0 w 10036"/>
              <a:gd name="connsiteY6" fmla="*/ 575 h 1004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0036" h="10043">
                <a:moveTo>
                  <a:pt x="0" y="575"/>
                </a:moveTo>
                <a:cubicBezTo>
                  <a:pt x="1890" y="55"/>
                  <a:pt x="3125" y="-35"/>
                  <a:pt x="5015" y="10"/>
                </a:cubicBezTo>
                <a:cubicBezTo>
                  <a:pt x="7061" y="-2"/>
                  <a:pt x="8047" y="21"/>
                  <a:pt x="10031" y="674"/>
                </a:cubicBezTo>
                <a:cubicBezTo>
                  <a:pt x="10020" y="2544"/>
                  <a:pt x="10198" y="3449"/>
                  <a:pt x="9159" y="6382"/>
                </a:cubicBezTo>
                <a:cubicBezTo>
                  <a:pt x="7814" y="8366"/>
                  <a:pt x="6937" y="9122"/>
                  <a:pt x="5031" y="10043"/>
                </a:cubicBezTo>
                <a:cubicBezTo>
                  <a:pt x="3001" y="9110"/>
                  <a:pt x="2154" y="8544"/>
                  <a:pt x="903" y="6249"/>
                </a:cubicBezTo>
                <a:cubicBezTo>
                  <a:pt x="363" y="4225"/>
                  <a:pt x="10" y="3064"/>
                  <a:pt x="0" y="575"/>
                </a:cubicBezTo>
                <a:close/>
              </a:path>
            </a:pathLst>
          </a:custGeom>
          <a:noFill/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11</xdr:col>
      <xdr:colOff>719924</xdr:colOff>
      <xdr:row>17</xdr:row>
      <xdr:rowOff>77444</xdr:rowOff>
    </xdr:from>
    <xdr:to>
      <xdr:col>11</xdr:col>
      <xdr:colOff>932651</xdr:colOff>
      <xdr:row>21</xdr:row>
      <xdr:rowOff>396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0AD9AD79-EFEC-DF50-AC8A-0153FCE0E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flipH="1">
          <a:off x="9044377" y="3490569"/>
          <a:ext cx="212727" cy="677015"/>
        </a:xfrm>
        <a:prstGeom prst="rect">
          <a:avLst/>
        </a:prstGeom>
      </xdr:spPr>
    </xdr:pic>
    <xdr:clientData/>
  </xdr:twoCellAnchor>
  <xdr:twoCellAnchor editAs="oneCell">
    <xdr:from>
      <xdr:col>10</xdr:col>
      <xdr:colOff>351876</xdr:colOff>
      <xdr:row>8</xdr:row>
      <xdr:rowOff>67469</xdr:rowOff>
    </xdr:from>
    <xdr:to>
      <xdr:col>10</xdr:col>
      <xdr:colOff>614362</xdr:colOff>
      <xdr:row>12</xdr:row>
      <xdr:rowOff>14285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66F0FF57-B247-C688-E00F-8FF85CC81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713907" y="1704578"/>
          <a:ext cx="262486" cy="72072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8</xdr:col>
      <xdr:colOff>121812</xdr:colOff>
      <xdr:row>17</xdr:row>
      <xdr:rowOff>23812</xdr:rowOff>
    </xdr:from>
    <xdr:to>
      <xdr:col>8</xdr:col>
      <xdr:colOff>382812</xdr:colOff>
      <xdr:row>21</xdr:row>
      <xdr:rowOff>395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557EC4CA-80B5-3A18-9604-596C3A7CC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flipH="1">
          <a:off x="6213843" y="3436937"/>
          <a:ext cx="261000" cy="730646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</xdr:colOff>
      <xdr:row>2</xdr:row>
      <xdr:rowOff>77932</xdr:rowOff>
    </xdr:from>
    <xdr:to>
      <xdr:col>1</xdr:col>
      <xdr:colOff>755955</xdr:colOff>
      <xdr:row>5</xdr:row>
      <xdr:rowOff>112568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70DF367-696E-CEAA-774A-FD5FF1F2C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636" y="467591"/>
          <a:ext cx="721319" cy="684068"/>
        </a:xfrm>
        <a:prstGeom prst="rect">
          <a:avLst/>
        </a:prstGeom>
      </xdr:spPr>
    </xdr:pic>
    <xdr:clientData/>
  </xdr:twoCellAnchor>
  <xdr:twoCellAnchor>
    <xdr:from>
      <xdr:col>13</xdr:col>
      <xdr:colOff>381000</xdr:colOff>
      <xdr:row>4</xdr:row>
      <xdr:rowOff>34636</xdr:rowOff>
    </xdr:from>
    <xdr:to>
      <xdr:col>15</xdr:col>
      <xdr:colOff>571500</xdr:colOff>
      <xdr:row>5</xdr:row>
      <xdr:rowOff>181841</xdr:rowOff>
    </xdr:to>
    <xdr:sp macro="" textlink="">
      <xdr:nvSpPr>
        <xdr:cNvPr id="4" name="Rectángulo: esquinas redondeadas 3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B0A1F33B-B77A-63D8-DDED-A99171A5228C}"/>
            </a:ext>
          </a:extLst>
        </xdr:cNvPr>
        <xdr:cNvSpPr/>
      </xdr:nvSpPr>
      <xdr:spPr>
        <a:xfrm>
          <a:off x="9854045" y="865909"/>
          <a:ext cx="1740478" cy="355023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400" b="1">
              <a:solidFill>
                <a:schemeClr val="tx1"/>
              </a:solidFill>
            </a:rPr>
            <a:t>Agregar Persona</a:t>
          </a:r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0.02103</cdr:x>
      <cdr:y>0.9216</cdr:y>
    </cdr:from>
    <cdr:to>
      <cdr:x>0.15939</cdr:x>
      <cdr:y>1</cdr:y>
    </cdr:to>
    <cdr:sp macro="" textlink="">
      <cdr:nvSpPr>
        <cdr:cNvPr id="8" name="CuadroTexto 7"/>
        <cdr:cNvSpPr txBox="1"/>
      </cdr:nvSpPr>
      <cdr:spPr>
        <a:xfrm xmlns:a="http://schemas.openxmlformats.org/drawingml/2006/main">
          <a:off x="61912" y="2169317"/>
          <a:ext cx="407398" cy="184547"/>
        </a:xfrm>
        <a:prstGeom xmlns:a="http://schemas.openxmlformats.org/drawingml/2006/main" prst="rect">
          <a:avLst/>
        </a:prstGeom>
        <a:solidFill xmlns:a="http://schemas.openxmlformats.org/drawingml/2006/main">
          <a:srgbClr val="FFC000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r"/>
          <a:r>
            <a:rPr lang="en-US" sz="800">
              <a:latin typeface="Bahnschrift Condensed" panose="020B0502040204020203" pitchFamily="34" charset="0"/>
            </a:rPr>
            <a:t>Endo</a:t>
          </a:r>
        </a:p>
      </cdr:txBody>
    </cdr:sp>
  </cdr:relSizeAnchor>
  <cdr:relSizeAnchor xmlns:cdr="http://schemas.openxmlformats.org/drawingml/2006/chartDrawing">
    <cdr:from>
      <cdr:x>0.85605</cdr:x>
      <cdr:y>0.91907</cdr:y>
    </cdr:from>
    <cdr:to>
      <cdr:x>1</cdr:x>
      <cdr:y>1</cdr:y>
    </cdr:to>
    <cdr:sp macro="" textlink="">
      <cdr:nvSpPr>
        <cdr:cNvPr id="9" name="CuadroTexto 8"/>
        <cdr:cNvSpPr txBox="1"/>
      </cdr:nvSpPr>
      <cdr:spPr>
        <a:xfrm xmlns:a="http://schemas.openxmlformats.org/drawingml/2006/main">
          <a:off x="2639803" y="2146950"/>
          <a:ext cx="443916" cy="189055"/>
        </a:xfrm>
        <a:prstGeom xmlns:a="http://schemas.openxmlformats.org/drawingml/2006/main" prst="rect">
          <a:avLst/>
        </a:prstGeom>
        <a:solidFill xmlns:a="http://schemas.openxmlformats.org/drawingml/2006/main">
          <a:srgbClr val="FFC000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l"/>
          <a:r>
            <a:rPr lang="en-US" sz="900">
              <a:latin typeface="Bahnschrift Condensed" panose="020B0502040204020203" pitchFamily="34" charset="0"/>
            </a:rPr>
            <a:t>Ecto</a:t>
          </a:r>
        </a:p>
      </cdr:txBody>
    </cdr:sp>
  </cdr:relSizeAnchor>
  <cdr:relSizeAnchor xmlns:cdr="http://schemas.openxmlformats.org/drawingml/2006/chartDrawing">
    <cdr:from>
      <cdr:x>0.17371</cdr:x>
      <cdr:y>0.28097</cdr:y>
    </cdr:from>
    <cdr:to>
      <cdr:x>0.33901</cdr:x>
      <cdr:y>0.3635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3EE8B83F-4E89-40D7-B044-B88785D3943C}"/>
            </a:ext>
          </a:extLst>
        </cdr:cNvPr>
        <cdr:cNvSpPr txBox="1"/>
      </cdr:nvSpPr>
      <cdr:spPr>
        <a:xfrm xmlns:a="http://schemas.openxmlformats.org/drawingml/2006/main">
          <a:off x="537000" y="656654"/>
          <a:ext cx="510991" cy="1928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>
              <a:solidFill>
                <a:schemeClr val="tx1">
                  <a:lumMod val="50000"/>
                  <a:lumOff val="50000"/>
                </a:schemeClr>
              </a:solidFill>
              <a:latin typeface="Bahnschrift Condensed" panose="020B0502040204020203" pitchFamily="34" charset="0"/>
            </a:rPr>
            <a:t>Meso-Endo</a:t>
          </a:r>
        </a:p>
      </cdr:txBody>
    </cdr:sp>
  </cdr:relSizeAnchor>
  <cdr:relSizeAnchor xmlns:cdr="http://schemas.openxmlformats.org/drawingml/2006/chartDrawing">
    <cdr:from>
      <cdr:x>0.02801</cdr:x>
      <cdr:y>0.58181</cdr:y>
    </cdr:from>
    <cdr:to>
      <cdr:x>0.20352</cdr:x>
      <cdr:y>0.67075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EE8B83F-4E89-40D7-B044-B88785D3943C}"/>
            </a:ext>
          </a:extLst>
        </cdr:cNvPr>
        <cdr:cNvSpPr txBox="1"/>
      </cdr:nvSpPr>
      <cdr:spPr>
        <a:xfrm xmlns:a="http://schemas.openxmlformats.org/drawingml/2006/main">
          <a:off x="86591" y="1359745"/>
          <a:ext cx="542553" cy="2078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>
              <a:solidFill>
                <a:schemeClr val="tx1">
                  <a:lumMod val="50000"/>
                  <a:lumOff val="50000"/>
                </a:schemeClr>
              </a:solidFill>
              <a:latin typeface="Bahnschrift Condensed" panose="020B0502040204020203" pitchFamily="34" charset="0"/>
            </a:rPr>
            <a:t>Endo-Meso</a:t>
          </a:r>
        </a:p>
      </cdr:txBody>
    </cdr:sp>
  </cdr:relSizeAnchor>
  <cdr:relSizeAnchor xmlns:cdr="http://schemas.openxmlformats.org/drawingml/2006/chartDrawing">
    <cdr:from>
      <cdr:x>0.6517</cdr:x>
      <cdr:y>0.27187</cdr:y>
    </cdr:from>
    <cdr:to>
      <cdr:x>0.83673</cdr:x>
      <cdr:y>0.36508</cdr:y>
    </cdr:to>
    <cdr:sp macro="" textlink="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3EE8B83F-4E89-40D7-B044-B88785D3943C}"/>
            </a:ext>
          </a:extLst>
        </cdr:cNvPr>
        <cdr:cNvSpPr txBox="1"/>
      </cdr:nvSpPr>
      <cdr:spPr>
        <a:xfrm xmlns:a="http://schemas.openxmlformats.org/drawingml/2006/main">
          <a:off x="2014598" y="635375"/>
          <a:ext cx="571982" cy="217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>
              <a:solidFill>
                <a:schemeClr val="tx1">
                  <a:lumMod val="50000"/>
                  <a:lumOff val="50000"/>
                </a:schemeClr>
              </a:solidFill>
              <a:latin typeface="Bahnschrift Condensed" panose="020B0502040204020203" pitchFamily="34" charset="0"/>
            </a:rPr>
            <a:t>Meso-Ecto</a:t>
          </a:r>
        </a:p>
      </cdr:txBody>
    </cdr:sp>
  </cdr:relSizeAnchor>
  <cdr:relSizeAnchor xmlns:cdr="http://schemas.openxmlformats.org/drawingml/2006/chartDrawing">
    <cdr:from>
      <cdr:x>0.79048</cdr:x>
      <cdr:y>0.59864</cdr:y>
    </cdr:from>
    <cdr:to>
      <cdr:x>0.95306</cdr:x>
      <cdr:y>0.68758</cdr:y>
    </cdr:to>
    <cdr:sp macro="" textlink="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87019854-352E-4DEC-9F05-ECF78D47AFFD}"/>
            </a:ext>
          </a:extLst>
        </cdr:cNvPr>
        <cdr:cNvSpPr txBox="1"/>
      </cdr:nvSpPr>
      <cdr:spPr>
        <a:xfrm xmlns:a="http://schemas.openxmlformats.org/drawingml/2006/main">
          <a:off x="2443608" y="1399079"/>
          <a:ext cx="502583" cy="2078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>
              <a:solidFill>
                <a:schemeClr val="tx1">
                  <a:lumMod val="50000"/>
                  <a:lumOff val="50000"/>
                </a:schemeClr>
              </a:solidFill>
              <a:latin typeface="Bahnschrift Condensed" panose="020B0502040204020203" pitchFamily="34" charset="0"/>
            </a:rPr>
            <a:t>Ecto-Meso</a:t>
          </a:r>
        </a:p>
      </cdr:txBody>
    </cdr:sp>
  </cdr:relSizeAnchor>
  <cdr:relSizeAnchor xmlns:cdr="http://schemas.openxmlformats.org/drawingml/2006/chartDrawing">
    <cdr:from>
      <cdr:x>0.25695</cdr:x>
      <cdr:y>0.87401</cdr:y>
    </cdr:from>
    <cdr:to>
      <cdr:x>0.42225</cdr:x>
      <cdr:y>0.96295</cdr:y>
    </cdr:to>
    <cdr:sp macro="" textlink="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87019854-352E-4DEC-9F05-ECF78D47AFFD}"/>
            </a:ext>
          </a:extLst>
        </cdr:cNvPr>
        <cdr:cNvSpPr txBox="1"/>
      </cdr:nvSpPr>
      <cdr:spPr>
        <a:xfrm xmlns:a="http://schemas.openxmlformats.org/drawingml/2006/main">
          <a:off x="794301" y="2042636"/>
          <a:ext cx="510992" cy="2078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>
              <a:solidFill>
                <a:schemeClr val="tx1">
                  <a:lumMod val="50000"/>
                  <a:lumOff val="50000"/>
                </a:schemeClr>
              </a:solidFill>
              <a:latin typeface="Bahnschrift Condensed" panose="020B0502040204020203" pitchFamily="34" charset="0"/>
            </a:rPr>
            <a:t>Endo-Ecto</a:t>
          </a:r>
        </a:p>
      </cdr:txBody>
    </cdr:sp>
  </cdr:relSizeAnchor>
  <cdr:relSizeAnchor xmlns:cdr="http://schemas.openxmlformats.org/drawingml/2006/chartDrawing">
    <cdr:from>
      <cdr:x>0.5593</cdr:x>
      <cdr:y>0.89577</cdr:y>
    </cdr:from>
    <cdr:to>
      <cdr:x>0.71168</cdr:x>
      <cdr:y>0.95554</cdr:y>
    </cdr:to>
    <cdr:sp macro="" textlink="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87019854-352E-4DEC-9F05-ECF78D47AFFD}"/>
            </a:ext>
          </a:extLst>
        </cdr:cNvPr>
        <cdr:cNvSpPr txBox="1"/>
      </cdr:nvSpPr>
      <cdr:spPr>
        <a:xfrm xmlns:a="http://schemas.openxmlformats.org/drawingml/2006/main">
          <a:off x="1728966" y="2093491"/>
          <a:ext cx="471051" cy="139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>
              <a:solidFill>
                <a:schemeClr val="tx1">
                  <a:lumMod val="50000"/>
                  <a:lumOff val="50000"/>
                </a:schemeClr>
              </a:solidFill>
              <a:latin typeface="Bahnschrift Condensed" panose="020B0502040204020203" pitchFamily="34" charset="0"/>
            </a:rPr>
            <a:t>Ecto-Endo</a:t>
          </a:r>
        </a:p>
      </cdr:txBody>
    </cdr:sp>
  </cdr:relSizeAnchor>
  <cdr:relSizeAnchor xmlns:cdr="http://schemas.openxmlformats.org/drawingml/2006/chartDrawing">
    <cdr:from>
      <cdr:x>0.41933</cdr:x>
      <cdr:y>0.1654</cdr:y>
    </cdr:from>
    <cdr:to>
      <cdr:x>0.56919</cdr:x>
      <cdr:y>0.24291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234678" y="389333"/>
          <a:ext cx="441260" cy="182441"/>
        </a:xfrm>
        <a:prstGeom xmlns:a="http://schemas.openxmlformats.org/drawingml/2006/main" prst="rect">
          <a:avLst/>
        </a:prstGeom>
        <a:solidFill xmlns:a="http://schemas.openxmlformats.org/drawingml/2006/main">
          <a:srgbClr val="FFC000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l"/>
          <a:r>
            <a:rPr lang="en-US" sz="900">
              <a:latin typeface="Bahnschrift Condensed" panose="020B0502040204020203" pitchFamily="34" charset="0"/>
            </a:rPr>
            <a:t>Meso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0.04197</cdr:x>
      <cdr:y>0.84387</cdr:y>
    </cdr:from>
    <cdr:to>
      <cdr:x>0.96078</cdr:x>
      <cdr:y>0.84595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19BD68E5-7630-4004-BF4D-0F490B3C21F8}"/>
            </a:ext>
          </a:extLst>
        </cdr:cNvPr>
        <cdr:cNvCxnSpPr/>
      </cdr:nvCxnSpPr>
      <cdr:spPr>
        <a:xfrm xmlns:a="http://schemas.openxmlformats.org/drawingml/2006/main">
          <a:off x="138342" y="864644"/>
          <a:ext cx="3028722" cy="2132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17520</xdr:colOff>
      <xdr:row>11</xdr:row>
      <xdr:rowOff>171448</xdr:rowOff>
    </xdr:from>
    <xdr:to>
      <xdr:col>13</xdr:col>
      <xdr:colOff>38051</xdr:colOff>
      <xdr:row>27</xdr:row>
      <xdr:rowOff>2801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GrpSpPr/>
      </xdr:nvGrpSpPr>
      <xdr:grpSpPr>
        <a:xfrm>
          <a:off x="8932920" y="2266948"/>
          <a:ext cx="3097106" cy="2879353"/>
          <a:chOff x="8904345" y="2514598"/>
          <a:chExt cx="3068531" cy="2879353"/>
        </a:xfrm>
      </xdr:grpSpPr>
      <xdr:cxnSp macro="">
        <xdr:nvCxnSpPr>
          <xdr:cNvPr id="5" name="Conector recto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CxnSpPr/>
        </xdr:nvCxnSpPr>
        <xdr:spPr>
          <a:xfrm flipV="1">
            <a:off x="10420350" y="2514601"/>
            <a:ext cx="9525" cy="2847974"/>
          </a:xfrm>
          <a:prstGeom prst="line">
            <a:avLst/>
          </a:prstGeom>
          <a:ln w="9525" cap="flat" cmpd="sng" algn="ctr">
            <a:solidFill>
              <a:schemeClr val="dk1"/>
            </a:solidFill>
            <a:prstDash val="dash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</xdr:cxnSp>
      <xdr:cxnSp macro="">
        <xdr:nvCxnSpPr>
          <xdr:cNvPr id="7" name="Conector recto 6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CxnSpPr/>
        </xdr:nvCxnSpPr>
        <xdr:spPr>
          <a:xfrm flipV="1">
            <a:off x="8905875" y="3552825"/>
            <a:ext cx="2781300" cy="1628775"/>
          </a:xfrm>
          <a:prstGeom prst="line">
            <a:avLst/>
          </a:prstGeom>
          <a:ln w="9525" cap="flat" cmpd="sng" algn="ctr">
            <a:solidFill>
              <a:schemeClr val="dk1"/>
            </a:solidFill>
            <a:prstDash val="dash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</xdr:cxnSp>
      <xdr:cxnSp macro="">
        <xdr:nvCxnSpPr>
          <xdr:cNvPr id="9" name="Conector recto 8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CxnSpPr/>
        </xdr:nvCxnSpPr>
        <xdr:spPr>
          <a:xfrm flipH="1" flipV="1">
            <a:off x="9172575" y="3552825"/>
            <a:ext cx="2771775" cy="1628775"/>
          </a:xfrm>
          <a:prstGeom prst="line">
            <a:avLst/>
          </a:prstGeom>
          <a:ln w="9525" cap="flat" cmpd="sng" algn="ctr">
            <a:solidFill>
              <a:schemeClr val="dk1"/>
            </a:solidFill>
            <a:prstDash val="dash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</xdr:cxnSp>
      <xdr:sp macro="" textlink="">
        <xdr:nvSpPr>
          <xdr:cNvPr id="19" name="Conector fuera de página 18"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SpPr/>
        </xdr:nvSpPr>
        <xdr:spPr>
          <a:xfrm rot="10800000">
            <a:off x="8904345" y="2514598"/>
            <a:ext cx="3068531" cy="2879353"/>
          </a:xfrm>
          <a:custGeom>
            <a:avLst/>
            <a:gdLst>
              <a:gd name="connsiteX0" fmla="*/ 0 w 10000"/>
              <a:gd name="connsiteY0" fmla="*/ 0 h 10000"/>
              <a:gd name="connsiteX1" fmla="*/ 10000 w 10000"/>
              <a:gd name="connsiteY1" fmla="*/ 0 h 10000"/>
              <a:gd name="connsiteX2" fmla="*/ 10000 w 10000"/>
              <a:gd name="connsiteY2" fmla="*/ 8000 h 10000"/>
              <a:gd name="connsiteX3" fmla="*/ 5000 w 10000"/>
              <a:gd name="connsiteY3" fmla="*/ 10000 h 10000"/>
              <a:gd name="connsiteX4" fmla="*/ 0 w 10000"/>
              <a:gd name="connsiteY4" fmla="*/ 8000 h 10000"/>
              <a:gd name="connsiteX5" fmla="*/ 0 w 10000"/>
              <a:gd name="connsiteY5" fmla="*/ 0 h 10000"/>
              <a:gd name="connsiteX0" fmla="*/ 0 w 10000"/>
              <a:gd name="connsiteY0" fmla="*/ 33 h 10033"/>
              <a:gd name="connsiteX1" fmla="*/ 4984 w 10000"/>
              <a:gd name="connsiteY1" fmla="*/ 0 h 10033"/>
              <a:gd name="connsiteX2" fmla="*/ 10000 w 10000"/>
              <a:gd name="connsiteY2" fmla="*/ 33 h 10033"/>
              <a:gd name="connsiteX3" fmla="*/ 10000 w 10000"/>
              <a:gd name="connsiteY3" fmla="*/ 8033 h 10033"/>
              <a:gd name="connsiteX4" fmla="*/ 5000 w 10000"/>
              <a:gd name="connsiteY4" fmla="*/ 10033 h 10033"/>
              <a:gd name="connsiteX5" fmla="*/ 0 w 10000"/>
              <a:gd name="connsiteY5" fmla="*/ 8033 h 10033"/>
              <a:gd name="connsiteX6" fmla="*/ 0 w 10000"/>
              <a:gd name="connsiteY6" fmla="*/ 33 h 10033"/>
              <a:gd name="connsiteX0" fmla="*/ 0 w 10000"/>
              <a:gd name="connsiteY0" fmla="*/ 33 h 10033"/>
              <a:gd name="connsiteX1" fmla="*/ 4984 w 10000"/>
              <a:gd name="connsiteY1" fmla="*/ 0 h 10033"/>
              <a:gd name="connsiteX2" fmla="*/ 10000 w 10000"/>
              <a:gd name="connsiteY2" fmla="*/ 664 h 10033"/>
              <a:gd name="connsiteX3" fmla="*/ 10000 w 10000"/>
              <a:gd name="connsiteY3" fmla="*/ 8033 h 10033"/>
              <a:gd name="connsiteX4" fmla="*/ 5000 w 10000"/>
              <a:gd name="connsiteY4" fmla="*/ 10033 h 10033"/>
              <a:gd name="connsiteX5" fmla="*/ 0 w 10000"/>
              <a:gd name="connsiteY5" fmla="*/ 8033 h 10033"/>
              <a:gd name="connsiteX6" fmla="*/ 0 w 10000"/>
              <a:gd name="connsiteY6" fmla="*/ 33 h 10033"/>
              <a:gd name="connsiteX0" fmla="*/ 0 w 10031"/>
              <a:gd name="connsiteY0" fmla="*/ 565 h 10033"/>
              <a:gd name="connsiteX1" fmla="*/ 5015 w 10031"/>
              <a:gd name="connsiteY1" fmla="*/ 0 h 10033"/>
              <a:gd name="connsiteX2" fmla="*/ 10031 w 10031"/>
              <a:gd name="connsiteY2" fmla="*/ 664 h 10033"/>
              <a:gd name="connsiteX3" fmla="*/ 10031 w 10031"/>
              <a:gd name="connsiteY3" fmla="*/ 8033 h 10033"/>
              <a:gd name="connsiteX4" fmla="*/ 5031 w 10031"/>
              <a:gd name="connsiteY4" fmla="*/ 10033 h 10033"/>
              <a:gd name="connsiteX5" fmla="*/ 31 w 10031"/>
              <a:gd name="connsiteY5" fmla="*/ 8033 h 10033"/>
              <a:gd name="connsiteX6" fmla="*/ 0 w 10031"/>
              <a:gd name="connsiteY6" fmla="*/ 565 h 10033"/>
              <a:gd name="connsiteX0" fmla="*/ 0 w 10031"/>
              <a:gd name="connsiteY0" fmla="*/ 565 h 10033"/>
              <a:gd name="connsiteX1" fmla="*/ 5015 w 10031"/>
              <a:gd name="connsiteY1" fmla="*/ 0 h 10033"/>
              <a:gd name="connsiteX2" fmla="*/ 10031 w 10031"/>
              <a:gd name="connsiteY2" fmla="*/ 664 h 10033"/>
              <a:gd name="connsiteX3" fmla="*/ 10031 w 10031"/>
              <a:gd name="connsiteY3" fmla="*/ 8033 h 10033"/>
              <a:gd name="connsiteX4" fmla="*/ 5031 w 10031"/>
              <a:gd name="connsiteY4" fmla="*/ 10033 h 10033"/>
              <a:gd name="connsiteX5" fmla="*/ 903 w 10031"/>
              <a:gd name="connsiteY5" fmla="*/ 6239 h 10033"/>
              <a:gd name="connsiteX6" fmla="*/ 0 w 10031"/>
              <a:gd name="connsiteY6" fmla="*/ 565 h 10033"/>
              <a:gd name="connsiteX0" fmla="*/ 0 w 10031"/>
              <a:gd name="connsiteY0" fmla="*/ 565 h 10033"/>
              <a:gd name="connsiteX1" fmla="*/ 5015 w 10031"/>
              <a:gd name="connsiteY1" fmla="*/ 0 h 10033"/>
              <a:gd name="connsiteX2" fmla="*/ 10031 w 10031"/>
              <a:gd name="connsiteY2" fmla="*/ 664 h 10033"/>
              <a:gd name="connsiteX3" fmla="*/ 10031 w 10031"/>
              <a:gd name="connsiteY3" fmla="*/ 8033 h 10033"/>
              <a:gd name="connsiteX4" fmla="*/ 5031 w 10031"/>
              <a:gd name="connsiteY4" fmla="*/ 10033 h 10033"/>
              <a:gd name="connsiteX5" fmla="*/ 903 w 10031"/>
              <a:gd name="connsiteY5" fmla="*/ 6239 h 10033"/>
              <a:gd name="connsiteX6" fmla="*/ 0 w 10031"/>
              <a:gd name="connsiteY6" fmla="*/ 565 h 10033"/>
              <a:gd name="connsiteX0" fmla="*/ 0 w 10031"/>
              <a:gd name="connsiteY0" fmla="*/ 565 h 10033"/>
              <a:gd name="connsiteX1" fmla="*/ 5015 w 10031"/>
              <a:gd name="connsiteY1" fmla="*/ 0 h 10033"/>
              <a:gd name="connsiteX2" fmla="*/ 10031 w 10031"/>
              <a:gd name="connsiteY2" fmla="*/ 664 h 10033"/>
              <a:gd name="connsiteX3" fmla="*/ 9159 w 10031"/>
              <a:gd name="connsiteY3" fmla="*/ 6372 h 10033"/>
              <a:gd name="connsiteX4" fmla="*/ 5031 w 10031"/>
              <a:gd name="connsiteY4" fmla="*/ 10033 h 10033"/>
              <a:gd name="connsiteX5" fmla="*/ 903 w 10031"/>
              <a:gd name="connsiteY5" fmla="*/ 6239 h 10033"/>
              <a:gd name="connsiteX6" fmla="*/ 0 w 10031"/>
              <a:gd name="connsiteY6" fmla="*/ 565 h 10033"/>
              <a:gd name="connsiteX0" fmla="*/ 0 w 10031"/>
              <a:gd name="connsiteY0" fmla="*/ 565 h 10033"/>
              <a:gd name="connsiteX1" fmla="*/ 5015 w 10031"/>
              <a:gd name="connsiteY1" fmla="*/ 0 h 10033"/>
              <a:gd name="connsiteX2" fmla="*/ 10031 w 10031"/>
              <a:gd name="connsiteY2" fmla="*/ 664 h 10033"/>
              <a:gd name="connsiteX3" fmla="*/ 9159 w 10031"/>
              <a:gd name="connsiteY3" fmla="*/ 6372 h 10033"/>
              <a:gd name="connsiteX4" fmla="*/ 5031 w 10031"/>
              <a:gd name="connsiteY4" fmla="*/ 10033 h 10033"/>
              <a:gd name="connsiteX5" fmla="*/ 903 w 10031"/>
              <a:gd name="connsiteY5" fmla="*/ 6239 h 10033"/>
              <a:gd name="connsiteX6" fmla="*/ 0 w 10031"/>
              <a:gd name="connsiteY6" fmla="*/ 565 h 10033"/>
              <a:gd name="connsiteX0" fmla="*/ 0 w 10036"/>
              <a:gd name="connsiteY0" fmla="*/ 565 h 10033"/>
              <a:gd name="connsiteX1" fmla="*/ 5015 w 10036"/>
              <a:gd name="connsiteY1" fmla="*/ 0 h 10033"/>
              <a:gd name="connsiteX2" fmla="*/ 10031 w 10036"/>
              <a:gd name="connsiteY2" fmla="*/ 664 h 10033"/>
              <a:gd name="connsiteX3" fmla="*/ 9159 w 10036"/>
              <a:gd name="connsiteY3" fmla="*/ 6372 h 10033"/>
              <a:gd name="connsiteX4" fmla="*/ 5031 w 10036"/>
              <a:gd name="connsiteY4" fmla="*/ 10033 h 10033"/>
              <a:gd name="connsiteX5" fmla="*/ 903 w 10036"/>
              <a:gd name="connsiteY5" fmla="*/ 6239 h 10033"/>
              <a:gd name="connsiteX6" fmla="*/ 0 w 10036"/>
              <a:gd name="connsiteY6" fmla="*/ 565 h 10033"/>
              <a:gd name="connsiteX0" fmla="*/ 0 w 10036"/>
              <a:gd name="connsiteY0" fmla="*/ 565 h 10033"/>
              <a:gd name="connsiteX1" fmla="*/ 5015 w 10036"/>
              <a:gd name="connsiteY1" fmla="*/ 0 h 10033"/>
              <a:gd name="connsiteX2" fmla="*/ 10031 w 10036"/>
              <a:gd name="connsiteY2" fmla="*/ 664 h 10033"/>
              <a:gd name="connsiteX3" fmla="*/ 9159 w 10036"/>
              <a:gd name="connsiteY3" fmla="*/ 6372 h 10033"/>
              <a:gd name="connsiteX4" fmla="*/ 5031 w 10036"/>
              <a:gd name="connsiteY4" fmla="*/ 10033 h 10033"/>
              <a:gd name="connsiteX5" fmla="*/ 903 w 10036"/>
              <a:gd name="connsiteY5" fmla="*/ 6239 h 10033"/>
              <a:gd name="connsiteX6" fmla="*/ 0 w 10036"/>
              <a:gd name="connsiteY6" fmla="*/ 565 h 10033"/>
              <a:gd name="connsiteX0" fmla="*/ 0 w 10036"/>
              <a:gd name="connsiteY0" fmla="*/ 566 h 10034"/>
              <a:gd name="connsiteX1" fmla="*/ 5015 w 10036"/>
              <a:gd name="connsiteY1" fmla="*/ 1 h 10034"/>
              <a:gd name="connsiteX2" fmla="*/ 10031 w 10036"/>
              <a:gd name="connsiteY2" fmla="*/ 665 h 10034"/>
              <a:gd name="connsiteX3" fmla="*/ 9159 w 10036"/>
              <a:gd name="connsiteY3" fmla="*/ 6373 h 10034"/>
              <a:gd name="connsiteX4" fmla="*/ 5031 w 10036"/>
              <a:gd name="connsiteY4" fmla="*/ 10034 h 10034"/>
              <a:gd name="connsiteX5" fmla="*/ 903 w 10036"/>
              <a:gd name="connsiteY5" fmla="*/ 6240 h 10034"/>
              <a:gd name="connsiteX6" fmla="*/ 0 w 10036"/>
              <a:gd name="connsiteY6" fmla="*/ 566 h 10034"/>
              <a:gd name="connsiteX0" fmla="*/ 0 w 10036"/>
              <a:gd name="connsiteY0" fmla="*/ 566 h 10034"/>
              <a:gd name="connsiteX1" fmla="*/ 5015 w 10036"/>
              <a:gd name="connsiteY1" fmla="*/ 1 h 10034"/>
              <a:gd name="connsiteX2" fmla="*/ 10031 w 10036"/>
              <a:gd name="connsiteY2" fmla="*/ 665 h 10034"/>
              <a:gd name="connsiteX3" fmla="*/ 9159 w 10036"/>
              <a:gd name="connsiteY3" fmla="*/ 6373 h 10034"/>
              <a:gd name="connsiteX4" fmla="*/ 5031 w 10036"/>
              <a:gd name="connsiteY4" fmla="*/ 10034 h 10034"/>
              <a:gd name="connsiteX5" fmla="*/ 903 w 10036"/>
              <a:gd name="connsiteY5" fmla="*/ 6240 h 10034"/>
              <a:gd name="connsiteX6" fmla="*/ 0 w 10036"/>
              <a:gd name="connsiteY6" fmla="*/ 566 h 10034"/>
              <a:gd name="connsiteX0" fmla="*/ 0 w 10036"/>
              <a:gd name="connsiteY0" fmla="*/ 575 h 10043"/>
              <a:gd name="connsiteX1" fmla="*/ 5015 w 10036"/>
              <a:gd name="connsiteY1" fmla="*/ 10 h 10043"/>
              <a:gd name="connsiteX2" fmla="*/ 10031 w 10036"/>
              <a:gd name="connsiteY2" fmla="*/ 674 h 10043"/>
              <a:gd name="connsiteX3" fmla="*/ 9159 w 10036"/>
              <a:gd name="connsiteY3" fmla="*/ 6382 h 10043"/>
              <a:gd name="connsiteX4" fmla="*/ 5031 w 10036"/>
              <a:gd name="connsiteY4" fmla="*/ 10043 h 10043"/>
              <a:gd name="connsiteX5" fmla="*/ 903 w 10036"/>
              <a:gd name="connsiteY5" fmla="*/ 6249 h 10043"/>
              <a:gd name="connsiteX6" fmla="*/ 0 w 10036"/>
              <a:gd name="connsiteY6" fmla="*/ 575 h 10043"/>
              <a:gd name="connsiteX0" fmla="*/ 0 w 10036"/>
              <a:gd name="connsiteY0" fmla="*/ 575 h 10043"/>
              <a:gd name="connsiteX1" fmla="*/ 5015 w 10036"/>
              <a:gd name="connsiteY1" fmla="*/ 10 h 10043"/>
              <a:gd name="connsiteX2" fmla="*/ 10031 w 10036"/>
              <a:gd name="connsiteY2" fmla="*/ 674 h 10043"/>
              <a:gd name="connsiteX3" fmla="*/ 9159 w 10036"/>
              <a:gd name="connsiteY3" fmla="*/ 6382 h 10043"/>
              <a:gd name="connsiteX4" fmla="*/ 5031 w 10036"/>
              <a:gd name="connsiteY4" fmla="*/ 10043 h 10043"/>
              <a:gd name="connsiteX5" fmla="*/ 903 w 10036"/>
              <a:gd name="connsiteY5" fmla="*/ 6249 h 10043"/>
              <a:gd name="connsiteX6" fmla="*/ 0 w 10036"/>
              <a:gd name="connsiteY6" fmla="*/ 575 h 10043"/>
              <a:gd name="connsiteX0" fmla="*/ 0 w 10036"/>
              <a:gd name="connsiteY0" fmla="*/ 575 h 10043"/>
              <a:gd name="connsiteX1" fmla="*/ 5015 w 10036"/>
              <a:gd name="connsiteY1" fmla="*/ 10 h 10043"/>
              <a:gd name="connsiteX2" fmla="*/ 10031 w 10036"/>
              <a:gd name="connsiteY2" fmla="*/ 674 h 10043"/>
              <a:gd name="connsiteX3" fmla="*/ 9159 w 10036"/>
              <a:gd name="connsiteY3" fmla="*/ 6382 h 10043"/>
              <a:gd name="connsiteX4" fmla="*/ 5031 w 10036"/>
              <a:gd name="connsiteY4" fmla="*/ 10043 h 10043"/>
              <a:gd name="connsiteX5" fmla="*/ 903 w 10036"/>
              <a:gd name="connsiteY5" fmla="*/ 6249 h 10043"/>
              <a:gd name="connsiteX6" fmla="*/ 0 w 10036"/>
              <a:gd name="connsiteY6" fmla="*/ 575 h 10043"/>
              <a:gd name="connsiteX0" fmla="*/ 0 w 10036"/>
              <a:gd name="connsiteY0" fmla="*/ 575 h 10043"/>
              <a:gd name="connsiteX1" fmla="*/ 5015 w 10036"/>
              <a:gd name="connsiteY1" fmla="*/ 10 h 10043"/>
              <a:gd name="connsiteX2" fmla="*/ 10031 w 10036"/>
              <a:gd name="connsiteY2" fmla="*/ 674 h 10043"/>
              <a:gd name="connsiteX3" fmla="*/ 9159 w 10036"/>
              <a:gd name="connsiteY3" fmla="*/ 6382 h 10043"/>
              <a:gd name="connsiteX4" fmla="*/ 5031 w 10036"/>
              <a:gd name="connsiteY4" fmla="*/ 10043 h 10043"/>
              <a:gd name="connsiteX5" fmla="*/ 903 w 10036"/>
              <a:gd name="connsiteY5" fmla="*/ 6249 h 10043"/>
              <a:gd name="connsiteX6" fmla="*/ 0 w 10036"/>
              <a:gd name="connsiteY6" fmla="*/ 575 h 10043"/>
              <a:gd name="connsiteX0" fmla="*/ 0 w 10036"/>
              <a:gd name="connsiteY0" fmla="*/ 575 h 10043"/>
              <a:gd name="connsiteX1" fmla="*/ 5015 w 10036"/>
              <a:gd name="connsiteY1" fmla="*/ 10 h 10043"/>
              <a:gd name="connsiteX2" fmla="*/ 10031 w 10036"/>
              <a:gd name="connsiteY2" fmla="*/ 674 h 10043"/>
              <a:gd name="connsiteX3" fmla="*/ 9159 w 10036"/>
              <a:gd name="connsiteY3" fmla="*/ 6382 h 10043"/>
              <a:gd name="connsiteX4" fmla="*/ 5031 w 10036"/>
              <a:gd name="connsiteY4" fmla="*/ 10043 h 10043"/>
              <a:gd name="connsiteX5" fmla="*/ 903 w 10036"/>
              <a:gd name="connsiteY5" fmla="*/ 6249 h 10043"/>
              <a:gd name="connsiteX6" fmla="*/ 0 w 10036"/>
              <a:gd name="connsiteY6" fmla="*/ 575 h 10043"/>
              <a:gd name="connsiteX0" fmla="*/ 0 w 10036"/>
              <a:gd name="connsiteY0" fmla="*/ 575 h 10043"/>
              <a:gd name="connsiteX1" fmla="*/ 5015 w 10036"/>
              <a:gd name="connsiteY1" fmla="*/ 10 h 10043"/>
              <a:gd name="connsiteX2" fmla="*/ 10031 w 10036"/>
              <a:gd name="connsiteY2" fmla="*/ 674 h 10043"/>
              <a:gd name="connsiteX3" fmla="*/ 9159 w 10036"/>
              <a:gd name="connsiteY3" fmla="*/ 6382 h 10043"/>
              <a:gd name="connsiteX4" fmla="*/ 5031 w 10036"/>
              <a:gd name="connsiteY4" fmla="*/ 10043 h 10043"/>
              <a:gd name="connsiteX5" fmla="*/ 903 w 10036"/>
              <a:gd name="connsiteY5" fmla="*/ 6249 h 10043"/>
              <a:gd name="connsiteX6" fmla="*/ 0 w 10036"/>
              <a:gd name="connsiteY6" fmla="*/ 575 h 1004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0036" h="10043">
                <a:moveTo>
                  <a:pt x="0" y="575"/>
                </a:moveTo>
                <a:cubicBezTo>
                  <a:pt x="1890" y="55"/>
                  <a:pt x="3125" y="-35"/>
                  <a:pt x="5015" y="10"/>
                </a:cubicBezTo>
                <a:cubicBezTo>
                  <a:pt x="7061" y="-2"/>
                  <a:pt x="8047" y="21"/>
                  <a:pt x="10031" y="674"/>
                </a:cubicBezTo>
                <a:cubicBezTo>
                  <a:pt x="10020" y="2544"/>
                  <a:pt x="10198" y="3449"/>
                  <a:pt x="9159" y="6382"/>
                </a:cubicBezTo>
                <a:cubicBezTo>
                  <a:pt x="7814" y="8366"/>
                  <a:pt x="6937" y="9122"/>
                  <a:pt x="5031" y="10043"/>
                </a:cubicBezTo>
                <a:cubicBezTo>
                  <a:pt x="3001" y="9110"/>
                  <a:pt x="2154" y="8544"/>
                  <a:pt x="903" y="6249"/>
                </a:cubicBezTo>
                <a:cubicBezTo>
                  <a:pt x="363" y="4225"/>
                  <a:pt x="10" y="3064"/>
                  <a:pt x="0" y="575"/>
                </a:cubicBezTo>
                <a:close/>
              </a:path>
            </a:pathLst>
          </a:custGeom>
          <a:noFill/>
          <a:ln>
            <a:solidFill>
              <a:schemeClr val="tx2">
                <a:lumMod val="50000"/>
                <a:lumOff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oneCellAnchor>
    <xdr:from>
      <xdr:col>5</xdr:col>
      <xdr:colOff>257175</xdr:colOff>
      <xdr:row>31</xdr:row>
      <xdr:rowOff>23812</xdr:rowOff>
    </xdr:from>
    <xdr:ext cx="1332544" cy="3935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uadroTexto 1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SpPr txBox="1"/>
          </xdr:nvSpPr>
          <xdr:spPr>
            <a:xfrm>
              <a:off x="5997023" y="5929312"/>
              <a:ext cx="1332544" cy="3935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MX" sz="1100" b="0" i="1">
                        <a:latin typeface="Cambria Math" panose="02040503050406030204" pitchFamily="18" charset="0"/>
                      </a:rPr>
                      <m:t>𝐼𝑃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𝐸𝑠𝑡𝑎𝑡𝑢𝑟𝑎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 (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𝑐𝑚𝑠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)</m:t>
                        </m:r>
                      </m:num>
                      <m:den>
                        <m:rad>
                          <m:rad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>
                            <m:r>
                              <m:rPr>
                                <m:brk m:alnAt="7"/>
                              </m:rPr>
                              <a:rPr lang="es-MX" sz="1100" b="0" i="1">
                                <a:latin typeface="Cambria Math" panose="02040503050406030204" pitchFamily="18" charset="0"/>
                              </a:rPr>
                              <m:t>3</m:t>
                            </m:r>
                          </m:deg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𝑃𝑒𝑠𝑜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𝐾𝑔𝑠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2" name="CuadroTexto 1"/>
            <xdr:cNvSpPr txBox="1"/>
          </xdr:nvSpPr>
          <xdr:spPr>
            <a:xfrm>
              <a:off x="5997023" y="5929312"/>
              <a:ext cx="1332544" cy="3935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𝐼𝑃=(𝐸𝑠𝑡𝑎𝑡𝑢𝑟𝑎 (𝑐𝑚𝑠))/√(3&amp;𝑃𝑒𝑠𝑜 𝐾𝑔𝑠)</a:t>
              </a:r>
              <a:endParaRPr lang="en-US" sz="1100"/>
            </a:p>
          </xdr:txBody>
        </xdr:sp>
      </mc:Fallback>
    </mc:AlternateContent>
    <xdr:clientData/>
  </xdr:oneCellAnchor>
  <xdr:twoCellAnchor>
    <xdr:from>
      <xdr:col>8</xdr:col>
      <xdr:colOff>66675</xdr:colOff>
      <xdr:row>7</xdr:row>
      <xdr:rowOff>104775</xdr:rowOff>
    </xdr:from>
    <xdr:to>
      <xdr:col>14</xdr:col>
      <xdr:colOff>133350</xdr:colOff>
      <xdr:row>30</xdr:row>
      <xdr:rowOff>185737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10</xdr:col>
      <xdr:colOff>285750</xdr:colOff>
      <xdr:row>34</xdr:row>
      <xdr:rowOff>180975</xdr:rowOff>
    </xdr:from>
    <xdr:ext cx="184731" cy="26456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10725150" y="6467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5</xdr:col>
      <xdr:colOff>238126</xdr:colOff>
      <xdr:row>40</xdr:row>
      <xdr:rowOff>139300</xdr:rowOff>
    </xdr:from>
    <xdr:to>
      <xdr:col>5</xdr:col>
      <xdr:colOff>576559</xdr:colOff>
      <xdr:row>43</xdr:row>
      <xdr:rowOff>28576</xdr:rowOff>
    </xdr:to>
    <xdr:pic>
      <xdr:nvPicPr>
        <xdr:cNvPr id="4" name="Imagen 3" descr="&lt;strong&gt;GPS&lt;/strong&gt; icon 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176" y="7768825"/>
          <a:ext cx="338433" cy="460776"/>
        </a:xfrm>
        <a:prstGeom prst="rect">
          <a:avLst/>
        </a:prstGeom>
      </xdr:spPr>
    </xdr:pic>
    <xdr:clientData/>
  </xdr:twoCellAnchor>
  <xdr:twoCellAnchor>
    <xdr:from>
      <xdr:col>10</xdr:col>
      <xdr:colOff>523875</xdr:colOff>
      <xdr:row>19</xdr:row>
      <xdr:rowOff>180975</xdr:rowOff>
    </xdr:from>
    <xdr:to>
      <xdr:col>11</xdr:col>
      <xdr:colOff>238125</xdr:colOff>
      <xdr:row>22</xdr:row>
      <xdr:rowOff>123825</xdr:rowOff>
    </xdr:to>
    <xdr:sp macro="" textlink="">
      <xdr:nvSpPr>
        <xdr:cNvPr id="16" name="Forma libre: forma 15">
          <a:extLst>
            <a:ext uri="{FF2B5EF4-FFF2-40B4-BE49-F238E27FC236}">
              <a16:creationId xmlns:a16="http://schemas.microsoft.com/office/drawing/2014/main" id="{21FB508F-7EC7-4ADB-AD28-302C7F90D8D2}"/>
            </a:ext>
          </a:extLst>
        </xdr:cNvPr>
        <xdr:cNvSpPr/>
      </xdr:nvSpPr>
      <xdr:spPr>
        <a:xfrm>
          <a:off x="10229850" y="3800475"/>
          <a:ext cx="476250" cy="514350"/>
        </a:xfrm>
        <a:custGeom>
          <a:avLst/>
          <a:gdLst>
            <a:gd name="connsiteX0" fmla="*/ 476250 w 476250"/>
            <a:gd name="connsiteY0" fmla="*/ 371475 h 609600"/>
            <a:gd name="connsiteX1" fmla="*/ 238125 w 476250"/>
            <a:gd name="connsiteY1" fmla="*/ 609600 h 609600"/>
            <a:gd name="connsiteX2" fmla="*/ 0 w 476250"/>
            <a:gd name="connsiteY2" fmla="*/ 390525 h 609600"/>
            <a:gd name="connsiteX3" fmla="*/ 0 w 476250"/>
            <a:gd name="connsiteY3" fmla="*/ 114300 h 609600"/>
            <a:gd name="connsiteX4" fmla="*/ 238125 w 476250"/>
            <a:gd name="connsiteY4" fmla="*/ 0 h 609600"/>
            <a:gd name="connsiteX5" fmla="*/ 476250 w 476250"/>
            <a:gd name="connsiteY5" fmla="*/ 123825 h 609600"/>
            <a:gd name="connsiteX6" fmla="*/ 476250 w 476250"/>
            <a:gd name="connsiteY6" fmla="*/ 371475 h 609600"/>
            <a:gd name="connsiteX0" fmla="*/ 476250 w 476250"/>
            <a:gd name="connsiteY0" fmla="*/ 371475 h 514350"/>
            <a:gd name="connsiteX1" fmla="*/ 228600 w 476250"/>
            <a:gd name="connsiteY1" fmla="*/ 514350 h 514350"/>
            <a:gd name="connsiteX2" fmla="*/ 0 w 476250"/>
            <a:gd name="connsiteY2" fmla="*/ 390525 h 514350"/>
            <a:gd name="connsiteX3" fmla="*/ 0 w 476250"/>
            <a:gd name="connsiteY3" fmla="*/ 114300 h 514350"/>
            <a:gd name="connsiteX4" fmla="*/ 238125 w 476250"/>
            <a:gd name="connsiteY4" fmla="*/ 0 h 514350"/>
            <a:gd name="connsiteX5" fmla="*/ 476250 w 476250"/>
            <a:gd name="connsiteY5" fmla="*/ 123825 h 514350"/>
            <a:gd name="connsiteX6" fmla="*/ 476250 w 476250"/>
            <a:gd name="connsiteY6" fmla="*/ 371475 h 514350"/>
            <a:gd name="connsiteX0" fmla="*/ 476250 w 476250"/>
            <a:gd name="connsiteY0" fmla="*/ 371475 h 514350"/>
            <a:gd name="connsiteX1" fmla="*/ 238125 w 476250"/>
            <a:gd name="connsiteY1" fmla="*/ 514350 h 514350"/>
            <a:gd name="connsiteX2" fmla="*/ 0 w 476250"/>
            <a:gd name="connsiteY2" fmla="*/ 390525 h 514350"/>
            <a:gd name="connsiteX3" fmla="*/ 0 w 476250"/>
            <a:gd name="connsiteY3" fmla="*/ 114300 h 514350"/>
            <a:gd name="connsiteX4" fmla="*/ 238125 w 476250"/>
            <a:gd name="connsiteY4" fmla="*/ 0 h 514350"/>
            <a:gd name="connsiteX5" fmla="*/ 476250 w 476250"/>
            <a:gd name="connsiteY5" fmla="*/ 123825 h 514350"/>
            <a:gd name="connsiteX6" fmla="*/ 476250 w 476250"/>
            <a:gd name="connsiteY6" fmla="*/ 371475 h 5143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476250" h="514350">
              <a:moveTo>
                <a:pt x="476250" y="371475"/>
              </a:moveTo>
              <a:lnTo>
                <a:pt x="238125" y="514350"/>
              </a:lnTo>
              <a:lnTo>
                <a:pt x="0" y="390525"/>
              </a:lnTo>
              <a:lnTo>
                <a:pt x="0" y="114300"/>
              </a:lnTo>
              <a:lnTo>
                <a:pt x="238125" y="0"/>
              </a:lnTo>
              <a:lnTo>
                <a:pt x="476250" y="123825"/>
              </a:lnTo>
              <a:lnTo>
                <a:pt x="476250" y="371475"/>
              </a:lnTo>
              <a:close/>
            </a:path>
          </a:pathLst>
        </a:custGeom>
        <a:noFill/>
        <a:ln w="12700">
          <a:solidFill>
            <a:schemeClr val="tx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0.0542</cdr:x>
      <cdr:y>0.68474</cdr:y>
    </cdr:from>
    <cdr:to>
      <cdr:x>0.13036</cdr:x>
      <cdr:y>0.9226</cdr:y>
    </cdr:to>
    <cdr:pic>
      <cdr:nvPicPr>
        <cdr:cNvPr id="5" name="Imagen 4" descr="Tipos de cuerpo; Ectomorfo, &lt;strong&gt;Mesomorfo&lt;/strong&gt;, Endomorfo">
          <a:extLst xmlns:a="http://schemas.openxmlformats.org/drawingml/2006/main">
            <a:ext uri="{FF2B5EF4-FFF2-40B4-BE49-F238E27FC236}">
              <a16:creationId xmlns:a16="http://schemas.microsoft.com/office/drawing/2014/main" id="{5A5C7273-A6BB-47FC-A490-B7A51FCE19B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 flipH="1">
          <a:off x="252969" y="3055644"/>
          <a:ext cx="355458" cy="106144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0.38108</cdr:x>
      <cdr:y>0</cdr:y>
    </cdr:from>
    <cdr:to>
      <cdr:x>0.44816</cdr:x>
      <cdr:y>0.20141</cdr:y>
    </cdr:to>
    <cdr:pic>
      <cdr:nvPicPr>
        <cdr:cNvPr id="6" name="Imagen 5" descr="Tipos de cuerpo; Ectomorfo, &lt;strong&gt;Mesomorfo&lt;/strong&gt;, Endomorfo">
          <a:extLst xmlns:a="http://schemas.openxmlformats.org/drawingml/2006/main">
            <a:ext uri="{FF2B5EF4-FFF2-40B4-BE49-F238E27FC236}">
              <a16:creationId xmlns:a16="http://schemas.microsoft.com/office/drawing/2014/main" id="{BFC126DF-7E81-4275-972D-590E1F3CC01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 flipH="1">
          <a:off x="1778597" y="0"/>
          <a:ext cx="313079" cy="89878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0.82041</cdr:x>
      <cdr:y>0.6967</cdr:y>
    </cdr:from>
    <cdr:to>
      <cdr:x>0.89193</cdr:x>
      <cdr:y>0.91085</cdr:y>
    </cdr:to>
    <cdr:pic>
      <cdr:nvPicPr>
        <cdr:cNvPr id="7" name="Imagen 6" descr="If not, wat next? !! :): February 2011">
          <a:extLst xmlns:a="http://schemas.openxmlformats.org/drawingml/2006/main">
            <a:ext uri="{FF2B5EF4-FFF2-40B4-BE49-F238E27FC236}">
              <a16:creationId xmlns:a16="http://schemas.microsoft.com/office/drawing/2014/main" id="{7332178F-EE13-4134-8B26-1B5EB7D09BEA}"/>
            </a:ext>
          </a:extLst>
        </cdr:cNvPr>
        <cdr:cNvPicPr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/>
      </cdr:blipFill>
      <cdr:spPr>
        <a:xfrm xmlns:a="http://schemas.openxmlformats.org/drawingml/2006/main">
          <a:off x="3829051" y="3109001"/>
          <a:ext cx="333822" cy="95561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0.43351</cdr:x>
      <cdr:y>0.12416</cdr:y>
    </cdr:from>
    <cdr:to>
      <cdr:x>0.595</cdr:x>
      <cdr:y>0.17132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2023290" y="554037"/>
          <a:ext cx="753714" cy="210450"/>
        </a:xfrm>
        <a:prstGeom xmlns:a="http://schemas.openxmlformats.org/drawingml/2006/main" prst="rect">
          <a:avLst/>
        </a:prstGeom>
        <a:solidFill xmlns:a="http://schemas.openxmlformats.org/drawingml/2006/main">
          <a:srgbClr val="FFC000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100">
              <a:latin typeface="Bahnschrift Condensed" panose="020B0502040204020203" pitchFamily="34" charset="0"/>
            </a:rPr>
            <a:t>Mesoformo</a:t>
          </a:r>
        </a:p>
      </cdr:txBody>
    </cdr:sp>
  </cdr:relSizeAnchor>
  <cdr:relSizeAnchor xmlns:cdr="http://schemas.openxmlformats.org/drawingml/2006/chartDrawing">
    <cdr:from>
      <cdr:x>0.13665</cdr:x>
      <cdr:y>0.84887</cdr:y>
    </cdr:from>
    <cdr:to>
      <cdr:x>0.33333</cdr:x>
      <cdr:y>0.89389</cdr:y>
    </cdr:to>
    <cdr:sp macro="" textlink="">
      <cdr:nvSpPr>
        <cdr:cNvPr id="8" name="CuadroTexto 7"/>
        <cdr:cNvSpPr txBox="1"/>
      </cdr:nvSpPr>
      <cdr:spPr>
        <a:xfrm xmlns:a="http://schemas.openxmlformats.org/drawingml/2006/main">
          <a:off x="637780" y="3788050"/>
          <a:ext cx="917954" cy="200900"/>
        </a:xfrm>
        <a:prstGeom xmlns:a="http://schemas.openxmlformats.org/drawingml/2006/main" prst="rect">
          <a:avLst/>
        </a:prstGeom>
        <a:solidFill xmlns:a="http://schemas.openxmlformats.org/drawingml/2006/main">
          <a:srgbClr val="FFC000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100">
              <a:latin typeface="Bahnschrift Condensed" panose="020B0502040204020203" pitchFamily="34" charset="0"/>
            </a:rPr>
            <a:t>Endomoformo</a:t>
          </a:r>
        </a:p>
      </cdr:txBody>
    </cdr:sp>
  </cdr:relSizeAnchor>
  <cdr:relSizeAnchor xmlns:cdr="http://schemas.openxmlformats.org/drawingml/2006/chartDrawing">
    <cdr:from>
      <cdr:x>0.61698</cdr:x>
      <cdr:y>0.84887</cdr:y>
    </cdr:from>
    <cdr:to>
      <cdr:x>0.82816</cdr:x>
      <cdr:y>0.90032</cdr:y>
    </cdr:to>
    <cdr:sp macro="" textlink="">
      <cdr:nvSpPr>
        <cdr:cNvPr id="9" name="CuadroTexto 8"/>
        <cdr:cNvSpPr txBox="1"/>
      </cdr:nvSpPr>
      <cdr:spPr>
        <a:xfrm xmlns:a="http://schemas.openxmlformats.org/drawingml/2006/main">
          <a:off x="2879600" y="3788050"/>
          <a:ext cx="985630" cy="229594"/>
        </a:xfrm>
        <a:prstGeom xmlns:a="http://schemas.openxmlformats.org/drawingml/2006/main" prst="rect">
          <a:avLst/>
        </a:prstGeom>
        <a:solidFill xmlns:a="http://schemas.openxmlformats.org/drawingml/2006/main">
          <a:srgbClr val="FFC000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100">
              <a:latin typeface="Bahnschrift Condensed" panose="020B0502040204020203" pitchFamily="34" charset="0"/>
            </a:rPr>
            <a:t>Ectomorformo</a:t>
          </a:r>
        </a:p>
      </cdr:txBody>
    </cdr:sp>
  </cdr:relSizeAnchor>
  <cdr:relSizeAnchor xmlns:cdr="http://schemas.openxmlformats.org/drawingml/2006/chartDrawing">
    <cdr:from>
      <cdr:x>0.20884</cdr:x>
      <cdr:y>0.2291</cdr:y>
    </cdr:from>
    <cdr:to>
      <cdr:x>0.33061</cdr:x>
      <cdr:y>0.31163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3EE8B83F-4E89-40D7-B044-B88785D3943C}"/>
            </a:ext>
          </a:extLst>
        </cdr:cNvPr>
        <cdr:cNvSpPr txBox="1"/>
      </cdr:nvSpPr>
      <cdr:spPr>
        <a:xfrm xmlns:a="http://schemas.openxmlformats.org/drawingml/2006/main">
          <a:off x="974725" y="1022350"/>
          <a:ext cx="568325" cy="3683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>
              <a:latin typeface="Bahnschrift Condensed" panose="020B0502040204020203" pitchFamily="34" charset="0"/>
            </a:rPr>
            <a:t>Meso-Endo</a:t>
          </a:r>
        </a:p>
      </cdr:txBody>
    </cdr:sp>
  </cdr:relSizeAnchor>
  <cdr:relSizeAnchor xmlns:cdr="http://schemas.openxmlformats.org/drawingml/2006/chartDrawing">
    <cdr:from>
      <cdr:x>0.04898</cdr:x>
      <cdr:y>0.51512</cdr:y>
    </cdr:from>
    <cdr:to>
      <cdr:x>0.17551</cdr:x>
      <cdr:y>0.60406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EE8B83F-4E89-40D7-B044-B88785D3943C}"/>
            </a:ext>
          </a:extLst>
        </cdr:cNvPr>
        <cdr:cNvSpPr txBox="1"/>
      </cdr:nvSpPr>
      <cdr:spPr>
        <a:xfrm xmlns:a="http://schemas.openxmlformats.org/drawingml/2006/main">
          <a:off x="228600" y="2298699"/>
          <a:ext cx="590550" cy="396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>
              <a:latin typeface="Bahnschrift Condensed" panose="020B0502040204020203" pitchFamily="34" charset="0"/>
            </a:rPr>
            <a:t>Endo-Meso</a:t>
          </a:r>
        </a:p>
      </cdr:txBody>
    </cdr:sp>
  </cdr:relSizeAnchor>
  <cdr:relSizeAnchor xmlns:cdr="http://schemas.openxmlformats.org/drawingml/2006/chartDrawing">
    <cdr:from>
      <cdr:x>0.6517</cdr:x>
      <cdr:y>0.21629</cdr:y>
    </cdr:from>
    <cdr:to>
      <cdr:x>0.78776</cdr:x>
      <cdr:y>0.3095</cdr:y>
    </cdr:to>
    <cdr:sp macro="" textlink="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3EE8B83F-4E89-40D7-B044-B88785D3943C}"/>
            </a:ext>
          </a:extLst>
        </cdr:cNvPr>
        <cdr:cNvSpPr txBox="1"/>
      </cdr:nvSpPr>
      <cdr:spPr>
        <a:xfrm xmlns:a="http://schemas.openxmlformats.org/drawingml/2006/main">
          <a:off x="3041650" y="965199"/>
          <a:ext cx="635000" cy="415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>
              <a:latin typeface="Bahnschrift Condensed" panose="020B0502040204020203" pitchFamily="34" charset="0"/>
            </a:rPr>
            <a:t>Meso-Ecto</a:t>
          </a:r>
        </a:p>
      </cdr:txBody>
    </cdr:sp>
  </cdr:relSizeAnchor>
  <cdr:relSizeAnchor xmlns:cdr="http://schemas.openxmlformats.org/drawingml/2006/chartDrawing">
    <cdr:from>
      <cdr:x>0.79048</cdr:x>
      <cdr:y>0.50231</cdr:y>
    </cdr:from>
    <cdr:to>
      <cdr:x>0.90408</cdr:x>
      <cdr:y>0.59125</cdr:y>
    </cdr:to>
    <cdr:sp macro="" textlink="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87019854-352E-4DEC-9F05-ECF78D47AFFD}"/>
            </a:ext>
          </a:extLst>
        </cdr:cNvPr>
        <cdr:cNvSpPr txBox="1"/>
      </cdr:nvSpPr>
      <cdr:spPr>
        <a:xfrm xmlns:a="http://schemas.openxmlformats.org/drawingml/2006/main">
          <a:off x="3689350" y="2241550"/>
          <a:ext cx="530225" cy="396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>
              <a:latin typeface="Bahnschrift Condensed" panose="020B0502040204020203" pitchFamily="34" charset="0"/>
            </a:rPr>
            <a:t>Ecto-Meso</a:t>
          </a:r>
        </a:p>
      </cdr:txBody>
    </cdr:sp>
  </cdr:relSizeAnchor>
  <cdr:relSizeAnchor xmlns:cdr="http://schemas.openxmlformats.org/drawingml/2006/chartDrawing">
    <cdr:from>
      <cdr:x>0.32721</cdr:x>
      <cdr:y>0.83529</cdr:y>
    </cdr:from>
    <cdr:to>
      <cdr:x>0.45306</cdr:x>
      <cdr:y>0.92423</cdr:y>
    </cdr:to>
    <cdr:sp macro="" textlink="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87019854-352E-4DEC-9F05-ECF78D47AFFD}"/>
            </a:ext>
          </a:extLst>
        </cdr:cNvPr>
        <cdr:cNvSpPr txBox="1"/>
      </cdr:nvSpPr>
      <cdr:spPr>
        <a:xfrm xmlns:a="http://schemas.openxmlformats.org/drawingml/2006/main">
          <a:off x="1527175" y="3727449"/>
          <a:ext cx="587375" cy="396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>
              <a:latin typeface="Bahnschrift Condensed" panose="020B0502040204020203" pitchFamily="34" charset="0"/>
            </a:rPr>
            <a:t>Endo-Ecto</a:t>
          </a:r>
        </a:p>
      </cdr:txBody>
    </cdr:sp>
  </cdr:relSizeAnchor>
  <cdr:relSizeAnchor xmlns:cdr="http://schemas.openxmlformats.org/drawingml/2006/chartDrawing">
    <cdr:from>
      <cdr:x>0.53129</cdr:x>
      <cdr:y>0.85165</cdr:y>
    </cdr:from>
    <cdr:to>
      <cdr:x>0.62653</cdr:x>
      <cdr:y>0.91142</cdr:y>
    </cdr:to>
    <cdr:sp macro="" textlink="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87019854-352E-4DEC-9F05-ECF78D47AFFD}"/>
            </a:ext>
          </a:extLst>
        </cdr:cNvPr>
        <cdr:cNvSpPr txBox="1"/>
      </cdr:nvSpPr>
      <cdr:spPr>
        <a:xfrm xmlns:a="http://schemas.openxmlformats.org/drawingml/2006/main">
          <a:off x="2479675" y="3800475"/>
          <a:ext cx="444500" cy="2666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>
              <a:latin typeface="Bahnschrift Condensed" panose="020B0502040204020203" pitchFamily="34" charset="0"/>
            </a:rPr>
            <a:t>Ecto-Endo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114300</xdr:colOff>
      <xdr:row>23</xdr:row>
      <xdr:rowOff>10989</xdr:rowOff>
    </xdr:from>
    <xdr:to>
      <xdr:col>5</xdr:col>
      <xdr:colOff>754673</xdr:colOff>
      <xdr:row>23</xdr:row>
      <xdr:rowOff>622789</xdr:rowOff>
    </xdr:to>
    <xdr:pic>
      <xdr:nvPicPr>
        <xdr:cNvPr id="2" name="Imagen 1" descr="El Marqués se Cuida: &lt;strong&gt;OBESIDAD&lt;/strong&gt; EN LA ADOLESCENCIA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0665" y="4201989"/>
          <a:ext cx="640373" cy="6118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25</xdr:row>
      <xdr:rowOff>0</xdr:rowOff>
    </xdr:from>
    <xdr:to>
      <xdr:col>9</xdr:col>
      <xdr:colOff>0</xdr:colOff>
      <xdr:row>26</xdr:row>
      <xdr:rowOff>0</xdr:rowOff>
    </xdr:to>
    <xdr:pic>
      <xdr:nvPicPr>
        <xdr:cNvPr id="14" name="Imagen 13" descr="Este es el cuerpo de los españoles">
          <a:extLst>
            <a:ext uri="{FF2B5EF4-FFF2-40B4-BE49-F238E27FC236}">
              <a16:creationId xmlns:a16="http://schemas.microsoft.com/office/drawing/2014/main" id="{12EE234B-9D05-4F96-B9CF-97F85153BB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836019" y="6491654"/>
          <a:ext cx="564173" cy="1450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560292</xdr:colOff>
      <xdr:row>24</xdr:row>
      <xdr:rowOff>0</xdr:rowOff>
    </xdr:from>
    <xdr:to>
      <xdr:col>9</xdr:col>
      <xdr:colOff>0</xdr:colOff>
      <xdr:row>25</xdr:row>
      <xdr:rowOff>6105</xdr:rowOff>
    </xdr:to>
    <xdr:pic>
      <xdr:nvPicPr>
        <xdr:cNvPr id="15" name="Imagen 14" descr="Este es el cuerpo de los españoles">
          <a:extLst>
            <a:ext uri="{FF2B5EF4-FFF2-40B4-BE49-F238E27FC236}">
              <a16:creationId xmlns:a16="http://schemas.microsoft.com/office/drawing/2014/main" id="{C6487E6D-ECC0-48B2-B22C-7C363E7A3C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33" r="53000"/>
        <a:stretch/>
      </xdr:blipFill>
      <xdr:spPr bwMode="auto">
        <a:xfrm flipH="1">
          <a:off x="6824380" y="5457265"/>
          <a:ext cx="560296" cy="1445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24</xdr:row>
      <xdr:rowOff>0</xdr:rowOff>
    </xdr:from>
    <xdr:to>
      <xdr:col>10</xdr:col>
      <xdr:colOff>564173</xdr:colOff>
      <xdr:row>25</xdr:row>
      <xdr:rowOff>0</xdr:rowOff>
    </xdr:to>
    <xdr:pic>
      <xdr:nvPicPr>
        <xdr:cNvPr id="20" name="Imagen 19" descr="image">
          <a:extLst>
            <a:ext uri="{FF2B5EF4-FFF2-40B4-BE49-F238E27FC236}">
              <a16:creationId xmlns:a16="http://schemas.microsoft.com/office/drawing/2014/main" id="{C34256B8-8B63-4C1E-81F6-CF0CD25D2B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964365" y="5040923"/>
          <a:ext cx="564173" cy="1450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25</xdr:row>
      <xdr:rowOff>0</xdr:rowOff>
    </xdr:from>
    <xdr:to>
      <xdr:col>10</xdr:col>
      <xdr:colOff>0</xdr:colOff>
      <xdr:row>26</xdr:row>
      <xdr:rowOff>0</xdr:rowOff>
    </xdr:to>
    <xdr:pic>
      <xdr:nvPicPr>
        <xdr:cNvPr id="21" name="Imagen 20" descr="image">
          <a:extLst>
            <a:ext uri="{FF2B5EF4-FFF2-40B4-BE49-F238E27FC236}">
              <a16:creationId xmlns:a16="http://schemas.microsoft.com/office/drawing/2014/main" id="{A39F9ED0-13D6-4671-AFA7-B57FC80CE1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00192" y="6491654"/>
          <a:ext cx="564173" cy="1450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564169</xdr:colOff>
      <xdr:row>25</xdr:row>
      <xdr:rowOff>1</xdr:rowOff>
    </xdr:from>
    <xdr:to>
      <xdr:col>10</xdr:col>
      <xdr:colOff>564172</xdr:colOff>
      <xdr:row>26</xdr:row>
      <xdr:rowOff>0</xdr:rowOff>
    </xdr:to>
    <xdr:pic>
      <xdr:nvPicPr>
        <xdr:cNvPr id="22" name="Imagen 21" descr="Categorías del índice de masa corporal BMI del hombre">
          <a:extLst>
            <a:ext uri="{FF2B5EF4-FFF2-40B4-BE49-F238E27FC236}">
              <a16:creationId xmlns:a16="http://schemas.microsoft.com/office/drawing/2014/main" id="{8E14D35C-0D6D-42F6-90E6-7F4CB08309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flipH="1">
          <a:off x="7964361" y="6491655"/>
          <a:ext cx="564176" cy="1450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791307</xdr:colOff>
      <xdr:row>24</xdr:row>
      <xdr:rowOff>1450730</xdr:rowOff>
    </xdr:from>
    <xdr:to>
      <xdr:col>7</xdr:col>
      <xdr:colOff>8547</xdr:colOff>
      <xdr:row>26</xdr:row>
      <xdr:rowOff>6105</xdr:rowOff>
    </xdr:to>
    <xdr:pic>
      <xdr:nvPicPr>
        <xdr:cNvPr id="23" name="Imagen 22" descr="Categorías del índice de masa corporal BMI del hombre">
          <a:extLst>
            <a:ext uri="{FF2B5EF4-FFF2-40B4-BE49-F238E27FC236}">
              <a16:creationId xmlns:a16="http://schemas.microsoft.com/office/drawing/2014/main" id="{9E71D487-50B5-4D1C-BD55-8009FC7A5D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4161" t="-5555" r="-13070" b="-7576"/>
        <a:stretch/>
      </xdr:blipFill>
      <xdr:spPr bwMode="auto">
        <a:xfrm flipH="1">
          <a:off x="5707672" y="6491653"/>
          <a:ext cx="572721" cy="1456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10</xdr:col>
      <xdr:colOff>0</xdr:colOff>
      <xdr:row>25</xdr:row>
      <xdr:rowOff>0</xdr:rowOff>
    </xdr:to>
    <xdr:pic>
      <xdr:nvPicPr>
        <xdr:cNvPr id="28" name="Imagen 27" descr="Grasa para adelgazar el frente de la transformación de la pérdida de peso de la mujer">
          <a:extLst>
            <a:ext uri="{FF2B5EF4-FFF2-40B4-BE49-F238E27FC236}">
              <a16:creationId xmlns:a16="http://schemas.microsoft.com/office/drawing/2014/main" id="{E493BC64-58A7-4F33-823E-BD5D53BD98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878" b="22092"/>
        <a:stretch/>
      </xdr:blipFill>
      <xdr:spPr bwMode="auto">
        <a:xfrm>
          <a:off x="7400192" y="4850423"/>
          <a:ext cx="564173" cy="1450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</xdr:colOff>
      <xdr:row>24</xdr:row>
      <xdr:rowOff>0</xdr:rowOff>
    </xdr:from>
    <xdr:to>
      <xdr:col>7</xdr:col>
      <xdr:colOff>0</xdr:colOff>
      <xdr:row>25</xdr:row>
      <xdr:rowOff>0</xdr:rowOff>
    </xdr:to>
    <xdr:pic>
      <xdr:nvPicPr>
        <xdr:cNvPr id="29" name="Imagen 28" descr="Progresión del peso: Peso insuficiente al exceso de peso">
          <a:extLst>
            <a:ext uri="{FF2B5EF4-FFF2-40B4-BE49-F238E27FC236}">
              <a16:creationId xmlns:a16="http://schemas.microsoft.com/office/drawing/2014/main" id="{F1E50233-9D32-400F-A30F-A0F0401D4A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07674" y="4850423"/>
          <a:ext cx="564172" cy="1450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1</xdr:rowOff>
    </xdr:from>
    <xdr:to>
      <xdr:col>8</xdr:col>
      <xdr:colOff>0</xdr:colOff>
      <xdr:row>25</xdr:row>
      <xdr:rowOff>6105</xdr:rowOff>
    </xdr:to>
    <xdr:pic>
      <xdr:nvPicPr>
        <xdr:cNvPr id="33" name="Imagen 32" descr="image">
          <a:extLst>
            <a:ext uri="{FF2B5EF4-FFF2-40B4-BE49-F238E27FC236}">
              <a16:creationId xmlns:a16="http://schemas.microsoft.com/office/drawing/2014/main" id="{DC0DCCAA-EB59-4C79-8D10-8980D442A6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4" r="63856" b="1135"/>
        <a:stretch/>
      </xdr:blipFill>
      <xdr:spPr bwMode="auto">
        <a:xfrm>
          <a:off x="6271846" y="5458559"/>
          <a:ext cx="564173" cy="1450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8</xdr:col>
      <xdr:colOff>0</xdr:colOff>
      <xdr:row>26</xdr:row>
      <xdr:rowOff>0</xdr:rowOff>
    </xdr:to>
    <xdr:pic>
      <xdr:nvPicPr>
        <xdr:cNvPr id="34" name="Imagen 33" descr="image">
          <a:extLst>
            <a:ext uri="{FF2B5EF4-FFF2-40B4-BE49-F238E27FC236}">
              <a16:creationId xmlns:a16="http://schemas.microsoft.com/office/drawing/2014/main" id="{E44C72E8-1A42-4424-B1FC-DBC874ADF8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94" r="5194"/>
        <a:stretch/>
      </xdr:blipFill>
      <xdr:spPr bwMode="auto">
        <a:xfrm>
          <a:off x="6271846" y="6491654"/>
          <a:ext cx="564173" cy="1450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clientes" displayName="clientes" ref="A2:Z11" totalsRowShown="0" headerRowDxfId="41" dataDxfId="39" headerRowBorderDxfId="40" tableBorderDxfId="38">
  <tableColumns count="26">
    <tableColumn id="1" xr3:uid="{00000000-0010-0000-0000-000001000000}" name="Nombre" dataDxfId="37"/>
    <tableColumn id="2" xr3:uid="{00000000-0010-0000-0000-000002000000}" name="Genero" dataDxfId="36"/>
    <tableColumn id="3" xr3:uid="{00000000-0010-0000-0000-000003000000}" name="Edad" dataDxfId="35"/>
    <tableColumn id="4" xr3:uid="{00000000-0010-0000-0000-000004000000}" name="Peso" dataDxfId="34"/>
    <tableColumn id="5" xr3:uid="{00000000-0010-0000-0000-000005000000}" name="Estatura" dataDxfId="33"/>
    <tableColumn id="6" xr3:uid="{00000000-0010-0000-0000-000006000000}" name="Factor_x000a_ejercicio" dataDxfId="32"/>
    <tableColumn id="7" xr3:uid="{00000000-0010-0000-0000-000007000000}" name="Objetivo_x000a_IMC " dataDxfId="31"/>
    <tableColumn id="8" xr3:uid="{00000000-0010-0000-0000-000008000000}" name="Ingesta_x000a_Diaria" dataDxfId="30"/>
    <tableColumn id="22" xr3:uid="{00000000-0010-0000-0000-000016000000}" name="Pliegue_x000a_ Biceps" dataDxfId="29"/>
    <tableColumn id="21" xr3:uid="{00000000-0010-0000-0000-000015000000}" name="Pliegue_x000a_ Triceps" dataDxfId="28"/>
    <tableColumn id="20" xr3:uid="{00000000-0010-0000-0000-000014000000}" name="Pliegue_x000a_Subescapular" dataDxfId="27"/>
    <tableColumn id="18" xr3:uid="{00000000-0010-0000-0000-000012000000}" name="Pliegue_x000a_Suprailiaco" dataDxfId="26"/>
    <tableColumn id="28" xr3:uid="{00000000-0010-0000-0000-00001C000000}" name="Pliegue_x000a_Supraespinal" dataDxfId="25"/>
    <tableColumn id="23" xr3:uid="{00000000-0010-0000-0000-000017000000}" name="Pliegue_x000a_Pantorrilla" dataDxfId="24"/>
    <tableColumn id="19" xr3:uid="{00000000-0010-0000-0000-000013000000}" name="Perimetro_x000a_Cintura" dataDxfId="23"/>
    <tableColumn id="10" xr3:uid="{00000000-0010-0000-0000-00000A000000}" name="Perimetro _x000a_Cadera" dataDxfId="22"/>
    <tableColumn id="11" xr3:uid="{00000000-0010-0000-0000-00000B000000}" name="Perimetro_x000a_Biceps_x000a_Relajado" dataDxfId="21"/>
    <tableColumn id="12" xr3:uid="{00000000-0010-0000-0000-00000C000000}" name="Perimetro_x000a_Biceps_x000a_Contraido" dataDxfId="20"/>
    <tableColumn id="13" xr3:uid="{00000000-0010-0000-0000-00000D000000}" name="Perimetro_x000a_Pierna" dataDxfId="19"/>
    <tableColumn id="14" xr3:uid="{00000000-0010-0000-0000-00000E000000}" name="Perimetro _x000a_Pantorrilla" dataDxfId="18"/>
    <tableColumn id="15" xr3:uid="{00000000-0010-0000-0000-00000F000000}" name="Perimetro _x000a_Torax" dataDxfId="17"/>
    <tableColumn id="16" xr3:uid="{00000000-0010-0000-0000-000010000000}" name="Perimetro _x000a_Muñeca" dataDxfId="16"/>
    <tableColumn id="26" xr3:uid="{00000000-0010-0000-0000-00001A000000}" name="Diámetro _x000a_Humero" dataDxfId="15"/>
    <tableColumn id="27" xr3:uid="{00000000-0010-0000-0000-00001B000000}" name="Diámetro _x000a_Femur" dataDxfId="14"/>
    <tableColumn id="9" xr3:uid="{FBE60DF2-728D-4248-A97E-DE598263C36D}" name="Antebrazo" dataDxfId="13"/>
    <tableColumn id="17" xr3:uid="{6CE3713A-1BEB-4BA1-8875-97A8286E87CB}" name="Muslo" dataDxfId="12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Escala de grises">
      <a:dk1>
        <a:sysClr val="windowText" lastClr="000000"/>
      </a:dk1>
      <a:lt1>
        <a:sysClr val="window" lastClr="FFFFFF"/>
      </a:lt1>
      <a:dk2>
        <a:srgbClr val="000000"/>
      </a:dk2>
      <a:lt2>
        <a:srgbClr val="F8F8F8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919191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books.google.com.mx/books?id=GF_wCgAAQBAJ&amp;pg=PA77&amp;dq=mesomorf%C3%ADa+ecuaci%C3%B3n&amp;hl=es-419&amp;sa=X&amp;ved=0ahUKEwi5x8q18YbpAhXC7Z4KHS62CwQQ6AEIJzAA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"/>
  <sheetViews>
    <sheetView showGridLines="0" showRowColHeaders="0" zoomScale="90" zoomScaleNormal="90" zoomScaleSheetLayoutView="90" workbookViewId="0">
      <selection activeCell="M38" sqref="M38"/>
    </sheetView>
  </sheetViews>
  <sheetFormatPr baseColWidth="10" defaultColWidth="11.42578125" defaultRowHeight="15" x14ac:dyDescent="0.25"/>
  <sheetData/>
  <sheetProtection algorithmName="SHA-512" hashValue="sUo44gml/K8g/WQDeOMijMRZ9/ioqXLfJOHdutH5kQTWNofQ3z005xuPLYZG+YWUWHUQ1N5F0ZVAE7JaDEpwhw==" saltValue="dK/uxyOXXKk4cupCDs+umw==" spinCount="100000" sheet="1" objects="1" scenarios="1" selectLockedCells="1"/>
  <pageMargins left="0.7" right="0.7" top="0.75" bottom="0.75" header="0.3" footer="0.3"/>
  <pageSetup paperSize="9" scale="6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7A198-F8A4-49E4-8A58-1264C2FD123B}">
  <dimension ref="B2"/>
  <sheetViews>
    <sheetView showGridLines="0" showRowColHeaders="0" workbookViewId="0">
      <selection activeCell="M36" sqref="M36"/>
    </sheetView>
  </sheetViews>
  <sheetFormatPr baseColWidth="10" defaultRowHeight="15" x14ac:dyDescent="0.25"/>
  <sheetData>
    <row r="2" spans="2:2" ht="23.25" x14ac:dyDescent="0.35">
      <c r="B2" s="106" t="s">
        <v>199</v>
      </c>
    </row>
  </sheetData>
  <sheetProtection algorithmName="SHA-512" hashValue="nWxcbZA0sL7n5lUsfqabFrlyYEIf+4PhfH8QSqeXBD8/2LQm72Y8wmWA6IKLpVaAYDbzlyyqMjtx+7cQEhsrKA==" saltValue="d6qOHpDoTuJM+yBrOufmmA==" spinCount="100000" sheet="1" objects="1" scenarios="1" selectLockedCell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rgb="FF7030A0"/>
  </sheetPr>
  <dimension ref="B1:R34"/>
  <sheetViews>
    <sheetView showGridLines="0" showRowColHeaders="0" tabSelected="1" zoomScale="110" zoomScaleNormal="110" zoomScaleSheetLayoutView="100" workbookViewId="0">
      <selection activeCell="C4" sqref="C4:E5"/>
    </sheetView>
  </sheetViews>
  <sheetFormatPr baseColWidth="10" defaultColWidth="11.42578125" defaultRowHeight="15" x14ac:dyDescent="0.25"/>
  <cols>
    <col min="2" max="4" width="11.42578125" style="1"/>
    <col min="5" max="5" width="13.5703125" style="1" customWidth="1"/>
    <col min="6" max="6" width="14.85546875" style="1" customWidth="1"/>
    <col min="7" max="7" width="14" style="1" customWidth="1"/>
    <col min="8" max="8" width="3.140625" style="1" customWidth="1"/>
    <col min="9" max="9" width="10.7109375" style="1" customWidth="1"/>
    <col min="10" max="10" width="8.28515625" style="1" customWidth="1"/>
    <col min="11" max="12" width="14.42578125" style="1" customWidth="1"/>
    <col min="13" max="13" width="2.85546875" style="1" customWidth="1"/>
    <col min="15" max="15" width="11.85546875" bestFit="1" customWidth="1"/>
  </cols>
  <sheetData>
    <row r="1" spans="2:18" ht="15" customHeight="1" x14ac:dyDescent="0.25">
      <c r="B1" s="191" t="s">
        <v>27</v>
      </c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</row>
    <row r="2" spans="2:18" ht="15.75" customHeight="1" thickBot="1" x14ac:dyDescent="0.3"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</row>
    <row r="3" spans="2:18" x14ac:dyDescent="0.25">
      <c r="B3" s="151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3"/>
    </row>
    <row r="4" spans="2:18" ht="19.5" customHeight="1" x14ac:dyDescent="0.25">
      <c r="B4" s="205" t="s">
        <v>121</v>
      </c>
      <c r="C4" s="203" t="s">
        <v>11</v>
      </c>
      <c r="D4" s="203"/>
      <c r="E4" s="203"/>
      <c r="F4"/>
      <c r="G4"/>
      <c r="H4"/>
      <c r="I4" s="154">
        <f>IF(E7&lt;50,E7/50,1)</f>
        <v>0.56179775280898869</v>
      </c>
      <c r="J4" s="155"/>
      <c r="K4" s="155"/>
      <c r="L4" s="156"/>
      <c r="M4" s="157"/>
    </row>
    <row r="5" spans="2:18" ht="16.5" thickBot="1" x14ac:dyDescent="0.3">
      <c r="B5" s="205"/>
      <c r="C5" s="204"/>
      <c r="D5" s="204"/>
      <c r="E5" s="204"/>
      <c r="F5" s="34" t="s">
        <v>7</v>
      </c>
      <c r="G5" s="144">
        <f>IFERROR(VLOOKUP(Persona,clientes[],3,0),"")</f>
        <v>35</v>
      </c>
      <c r="H5" s="176" t="s">
        <v>42</v>
      </c>
      <c r="I5"/>
      <c r="J5"/>
      <c r="K5"/>
      <c r="L5"/>
      <c r="M5" s="157"/>
    </row>
    <row r="6" spans="2:18" ht="15.75" thickTop="1" x14ac:dyDescent="0.25">
      <c r="B6" s="158"/>
      <c r="C6"/>
      <c r="D6"/>
      <c r="E6"/>
      <c r="F6" s="13"/>
      <c r="G6"/>
      <c r="H6"/>
      <c r="I6"/>
      <c r="J6"/>
      <c r="K6"/>
      <c r="L6"/>
      <c r="M6" s="157"/>
    </row>
    <row r="7" spans="2:18" ht="15.75" x14ac:dyDescent="0.25">
      <c r="B7" s="159" t="s">
        <v>16</v>
      </c>
      <c r="C7" s="146">
        <f>IFERROR(VLOOKUP(Persona,clientes[],7,0),"")</f>
        <v>21</v>
      </c>
      <c r="D7" s="34" t="s">
        <v>176</v>
      </c>
      <c r="E7" s="139">
        <f>IFERROR(peso/altura^2,"")</f>
        <v>28.089887640449437</v>
      </c>
      <c r="F7" s="34" t="s">
        <v>15</v>
      </c>
      <c r="G7" s="145">
        <f>IFERROR(VLOOKUP(Persona,clientes[],8,0),"")</f>
        <v>2480</v>
      </c>
      <c r="H7" s="160"/>
      <c r="I7"/>
      <c r="J7"/>
      <c r="K7"/>
      <c r="L7"/>
      <c r="M7" s="157"/>
      <c r="O7" s="46"/>
    </row>
    <row r="8" spans="2:18" x14ac:dyDescent="0.25">
      <c r="B8" s="161"/>
      <c r="C8"/>
      <c r="D8"/>
      <c r="E8"/>
      <c r="F8" s="13"/>
      <c r="G8"/>
      <c r="H8"/>
      <c r="I8"/>
      <c r="J8"/>
      <c r="K8"/>
      <c r="L8"/>
      <c r="M8" s="157"/>
    </row>
    <row r="9" spans="2:18" ht="15.75" x14ac:dyDescent="0.25">
      <c r="B9" s="161"/>
      <c r="C9" s="162" t="s">
        <v>0</v>
      </c>
      <c r="D9" s="140">
        <f>IFERROR(VLOOKUP(tipo,tablaTMB,2,0)*1.1,"")</f>
        <v>2138.4</v>
      </c>
      <c r="E9" s="138" t="s">
        <v>49</v>
      </c>
      <c r="F9" s="34" t="s">
        <v>14</v>
      </c>
      <c r="G9" s="141">
        <f>IFERROR(peso*imcReal/100,"")</f>
        <v>25</v>
      </c>
      <c r="H9" s="163"/>
      <c r="I9"/>
      <c r="J9"/>
      <c r="K9"/>
      <c r="L9"/>
      <c r="M9" s="157"/>
    </row>
    <row r="10" spans="2:18" x14ac:dyDescent="0.25">
      <c r="B10" s="161"/>
      <c r="C10" s="29"/>
      <c r="D10"/>
      <c r="E10"/>
      <c r="F10" s="13"/>
      <c r="G10"/>
      <c r="H10"/>
      <c r="I10"/>
      <c r="J10"/>
      <c r="K10"/>
      <c r="L10"/>
      <c r="M10" s="157"/>
    </row>
    <row r="11" spans="2:18" ht="15.75" x14ac:dyDescent="0.25">
      <c r="B11" s="161"/>
      <c r="C11" s="34" t="s">
        <v>17</v>
      </c>
      <c r="D11" s="150">
        <f>IFERROR(VLOOKUP(Persona,clientes[],6,0),"")</f>
        <v>1.2</v>
      </c>
      <c r="E11" s="164"/>
      <c r="F11" s="34" t="s">
        <v>31</v>
      </c>
      <c r="G11" s="141">
        <f>IFERROR(peso-masaGrasa,"")</f>
        <v>64</v>
      </c>
      <c r="H11" s="177" t="s">
        <v>41</v>
      </c>
      <c r="I11"/>
      <c r="J11"/>
      <c r="K11"/>
      <c r="L11"/>
      <c r="M11" s="157"/>
    </row>
    <row r="12" spans="2:18" x14ac:dyDescent="0.25">
      <c r="B12" s="161"/>
      <c r="C12" s="29"/>
      <c r="D12"/>
      <c r="E12"/>
      <c r="F12" s="13"/>
      <c r="G12"/>
      <c r="H12"/>
      <c r="I12"/>
      <c r="J12"/>
      <c r="K12"/>
      <c r="L12"/>
      <c r="M12" s="157"/>
    </row>
    <row r="13" spans="2:18" ht="17.25" customHeight="1" x14ac:dyDescent="0.3">
      <c r="B13" s="165"/>
      <c r="C13" s="34" t="s">
        <v>122</v>
      </c>
      <c r="D13" s="132">
        <f>IFERROR(tmb*ejercicio*110%,"")</f>
        <v>2822.6880000000001</v>
      </c>
      <c r="E13" s="166"/>
      <c r="F13" s="34" t="s">
        <v>13</v>
      </c>
      <c r="G13" s="141">
        <f>IFERROR(masaMagra/(100-imcDeseado)*100,"")</f>
        <v>81.012658227848107</v>
      </c>
      <c r="H13" s="163"/>
      <c r="I13"/>
      <c r="J13"/>
      <c r="K13"/>
      <c r="L13"/>
      <c r="M13" s="157"/>
    </row>
    <row r="14" spans="2:18" x14ac:dyDescent="0.25">
      <c r="B14" s="161"/>
      <c r="C14" s="29"/>
      <c r="D14"/>
      <c r="E14"/>
      <c r="F14" s="178" t="s">
        <v>201</v>
      </c>
      <c r="G14" s="167">
        <f>IFERROR(pesoIdeal-peso,"")</f>
        <v>-7.9873417721518933</v>
      </c>
      <c r="H14"/>
      <c r="I14"/>
      <c r="J14"/>
      <c r="K14"/>
      <c r="L14"/>
      <c r="M14" s="157"/>
      <c r="R14" s="15"/>
    </row>
    <row r="15" spans="2:18" ht="15.75" x14ac:dyDescent="0.25">
      <c r="B15" s="168"/>
      <c r="C15" s="169" t="s">
        <v>8</v>
      </c>
      <c r="D15" s="169" t="s">
        <v>9</v>
      </c>
      <c r="E15"/>
      <c r="F15" s="34" t="s">
        <v>6</v>
      </c>
      <c r="G15" s="149" t="str">
        <f>IFERROR(VLOOKUP(Persona,clientes[],2,0),"")</f>
        <v>Hombre</v>
      </c>
      <c r="H15" s="163"/>
      <c r="I15"/>
      <c r="J15"/>
      <c r="K15"/>
      <c r="L15"/>
      <c r="M15" s="157"/>
    </row>
    <row r="16" spans="2:18" ht="15.75" x14ac:dyDescent="0.25">
      <c r="B16" s="161"/>
      <c r="C16" s="147">
        <f>IFERROR(VLOOKUP(Persona,clientes[],4,0),"")</f>
        <v>89</v>
      </c>
      <c r="D16" s="148">
        <f>IFERROR(VLOOKUP(Persona,clientes[],5,0),"")</f>
        <v>1.78</v>
      </c>
      <c r="E16" s="170"/>
      <c r="F16"/>
      <c r="G16"/>
      <c r="H16"/>
      <c r="I16"/>
      <c r="J16"/>
      <c r="K16"/>
      <c r="L16"/>
      <c r="M16" s="157"/>
    </row>
    <row r="17" spans="2:13" ht="15.75" x14ac:dyDescent="0.25">
      <c r="B17" s="161"/>
      <c r="C17" s="163"/>
      <c r="D17" s="163"/>
      <c r="E17"/>
      <c r="F17" s="133" t="s">
        <v>10</v>
      </c>
      <c r="G17" s="134" t="s">
        <v>8</v>
      </c>
      <c r="H17"/>
      <c r="I17"/>
      <c r="J17"/>
      <c r="K17"/>
      <c r="L17"/>
      <c r="M17" s="157"/>
    </row>
    <row r="18" spans="2:13" x14ac:dyDescent="0.25">
      <c r="B18" s="200"/>
      <c r="C18" s="169" t="s">
        <v>50</v>
      </c>
      <c r="D18" s="142">
        <f>IFERROR(peso/7*0.24,"")</f>
        <v>3.0514285714285712</v>
      </c>
      <c r="E18" s="171"/>
      <c r="F18" s="135" t="s">
        <v>4</v>
      </c>
      <c r="G18" s="172">
        <f>IFERROR(dia/1000,"")</f>
        <v>-3.8076444444444454E-2</v>
      </c>
      <c r="H18"/>
      <c r="I18"/>
      <c r="J18"/>
      <c r="K18"/>
      <c r="L18"/>
      <c r="M18" s="157"/>
    </row>
    <row r="19" spans="2:13" x14ac:dyDescent="0.25">
      <c r="B19" s="200"/>
      <c r="C19" s="34" t="s">
        <v>144</v>
      </c>
      <c r="D19" s="179" t="str">
        <f>IFERROR(VLOOKUP(Somatotipo!$D$40,Tablas!$L$10:$Q$14,3,1),"")</f>
        <v>Moderada</v>
      </c>
      <c r="E19" s="46"/>
      <c r="F19" s="136" t="s">
        <v>2</v>
      </c>
      <c r="G19" s="172">
        <f>IFERROR(semana/1000,"")</f>
        <v>-0.26653511111111117</v>
      </c>
      <c r="H19"/>
      <c r="I19"/>
      <c r="J19"/>
      <c r="K19"/>
      <c r="L19"/>
      <c r="M19" s="157"/>
    </row>
    <row r="20" spans="2:13" x14ac:dyDescent="0.25">
      <c r="B20" s="200"/>
      <c r="C20" s="34" t="s">
        <v>145</v>
      </c>
      <c r="D20" s="179" t="str">
        <f>IFERROR(VLOOKUP(Somatotipo!$E$40,Tablas!$L$10:$Q$14,3,1),"")</f>
        <v>Moderada</v>
      </c>
      <c r="E20"/>
      <c r="F20" s="136" t="s">
        <v>1</v>
      </c>
      <c r="G20" s="172">
        <f>IFERROR(mes/1000,"")</f>
        <v>-1.1422933333333338</v>
      </c>
      <c r="H20"/>
      <c r="I20"/>
      <c r="J20"/>
      <c r="K20"/>
      <c r="L20"/>
      <c r="M20" s="157"/>
    </row>
    <row r="21" spans="2:13" x14ac:dyDescent="0.25">
      <c r="B21" s="200"/>
      <c r="C21" s="34" t="s">
        <v>146</v>
      </c>
      <c r="D21" s="179" t="str">
        <f>IFERROR(VLOOKUP(Somatotipo!$F$40,Tablas!$L$10:$Q$14,3,1),"")</f>
        <v>No presenta</v>
      </c>
      <c r="E21"/>
      <c r="F21" s="137"/>
      <c r="G21"/>
      <c r="H21"/>
      <c r="I21"/>
      <c r="J21"/>
      <c r="K21"/>
      <c r="L21"/>
      <c r="M21" s="157"/>
    </row>
    <row r="22" spans="2:13" x14ac:dyDescent="0.25">
      <c r="B22" s="200"/>
      <c r="C22"/>
      <c r="D22" s="180" t="s">
        <v>123</v>
      </c>
      <c r="E22" s="173"/>
      <c r="F22" s="173"/>
      <c r="G22" s="173"/>
      <c r="H22" s="173"/>
      <c r="I22" s="173"/>
      <c r="J22"/>
      <c r="K22"/>
      <c r="L22"/>
      <c r="M22" s="157"/>
    </row>
    <row r="23" spans="2:13" x14ac:dyDescent="0.25">
      <c r="B23" s="200"/>
      <c r="C23" s="33" t="s">
        <v>4</v>
      </c>
      <c r="D23" s="143">
        <f>IFERROR((ingesta-Energía)/9,"")</f>
        <v>-38.076444444444455</v>
      </c>
      <c r="E23" s="34" t="s">
        <v>2</v>
      </c>
      <c r="F23" s="143">
        <f>IFERROR(dia*7,"")</f>
        <v>-266.53511111111118</v>
      </c>
      <c r="G23" s="34" t="s">
        <v>1</v>
      </c>
      <c r="H23" s="197">
        <f>IFERROR(dia*30,"")</f>
        <v>-1142.2933333333337</v>
      </c>
      <c r="I23" s="198"/>
      <c r="J23" s="34" t="s">
        <v>3</v>
      </c>
      <c r="K23" s="192" t="str">
        <f>IFERROR(IF(dia&lt;0,"Perdida de Peso","Subir de Peso"),"")</f>
        <v>Perdida de Peso</v>
      </c>
      <c r="L23" s="193"/>
      <c r="M23" s="157"/>
    </row>
    <row r="24" spans="2:13" x14ac:dyDescent="0.25">
      <c r="B24" s="200"/>
      <c r="C24"/>
      <c r="D24"/>
      <c r="E24"/>
      <c r="F24"/>
      <c r="G24"/>
      <c r="H24"/>
      <c r="I24"/>
      <c r="J24"/>
      <c r="K24" s="199" t="str">
        <f>HLOOKUP(imcReal,Tablas!$G$23:$K$24,2,1)</f>
        <v>Sobrepreso</v>
      </c>
      <c r="L24" s="199"/>
      <c r="M24" s="157"/>
    </row>
    <row r="25" spans="2:13" ht="15.75" thickBot="1" x14ac:dyDescent="0.3">
      <c r="B25" s="201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5"/>
    </row>
    <row r="26" spans="2:13" x14ac:dyDescent="0.25">
      <c r="B26"/>
      <c r="C26"/>
      <c r="D26"/>
      <c r="E26"/>
      <c r="F26"/>
      <c r="G26"/>
      <c r="H26"/>
      <c r="I26"/>
      <c r="J26"/>
      <c r="K26"/>
      <c r="L26"/>
      <c r="M26"/>
    </row>
    <row r="27" spans="2:13" ht="16.5" x14ac:dyDescent="0.3">
      <c r="B27" s="196" t="s">
        <v>207</v>
      </c>
      <c r="C27" s="196"/>
      <c r="D27" s="196"/>
      <c r="E27" s="196"/>
      <c r="F27" s="196"/>
      <c r="G27" s="196"/>
      <c r="H27" s="196"/>
      <c r="I27" s="196"/>
      <c r="J27" s="196"/>
      <c r="K27" s="196"/>
      <c r="L27" s="196"/>
      <c r="M27" s="196"/>
    </row>
    <row r="28" spans="2:13" ht="19.5" x14ac:dyDescent="0.25">
      <c r="C28" s="202" t="s">
        <v>147</v>
      </c>
      <c r="D28" s="202"/>
      <c r="E28" s="202"/>
      <c r="F28" s="202"/>
      <c r="G28" s="202"/>
      <c r="H28" s="202"/>
      <c r="I28" s="202"/>
      <c r="J28" s="202"/>
      <c r="K28" s="202"/>
      <c r="L28" s="202"/>
      <c r="M28" s="202"/>
    </row>
    <row r="29" spans="2:13" x14ac:dyDescent="0.25">
      <c r="C29" s="194" t="s">
        <v>142</v>
      </c>
      <c r="D29" s="182" t="str">
        <f>IFERROR(VLOOKUP(Somatotipo!$D$40,Tablas!$L$10:$Q$14,4,1),"")</f>
        <v>Moderada Adiposidad relativa, poca grasa subcutanea cubre  los contornos musculares y óseos. Son percibe una apriencia mas blanda.</v>
      </c>
      <c r="E29" s="183"/>
      <c r="F29" s="183"/>
      <c r="G29" s="183"/>
      <c r="H29" s="183"/>
      <c r="I29" s="183"/>
      <c r="J29" s="183"/>
      <c r="K29" s="183"/>
      <c r="L29" s="183"/>
      <c r="M29" s="183"/>
    </row>
    <row r="30" spans="2:13" x14ac:dyDescent="0.25">
      <c r="C30" s="194"/>
      <c r="D30" s="184"/>
      <c r="E30" s="185"/>
      <c r="F30" s="185"/>
      <c r="G30" s="185"/>
      <c r="H30" s="185"/>
      <c r="I30" s="185"/>
      <c r="J30" s="185"/>
      <c r="K30" s="185"/>
      <c r="L30" s="185"/>
      <c r="M30" s="185"/>
    </row>
    <row r="31" spans="2:13" x14ac:dyDescent="0.25">
      <c r="C31" s="195" t="s">
        <v>143</v>
      </c>
      <c r="D31" s="186" t="str">
        <f>IFERROR(VLOOKUP(Somatotipo!$E$40,Tablas!$L$10:$Q$14,5,1),"")</f>
        <v>Moderado desarrollo músculo esquelético relativo, ,mayor volumen muscular,. huesos y articulaciones de mayores dimensiones</v>
      </c>
      <c r="E31" s="186"/>
      <c r="F31" s="186"/>
      <c r="G31" s="186"/>
      <c r="H31" s="186"/>
      <c r="I31" s="186"/>
      <c r="J31" s="186"/>
      <c r="K31" s="186"/>
      <c r="L31" s="186"/>
      <c r="M31" s="186"/>
    </row>
    <row r="32" spans="2:13" x14ac:dyDescent="0.25">
      <c r="C32" s="195"/>
      <c r="D32" s="186"/>
      <c r="E32" s="186"/>
      <c r="F32" s="186"/>
      <c r="G32" s="186"/>
      <c r="H32" s="186"/>
      <c r="I32" s="186"/>
      <c r="J32" s="186"/>
      <c r="K32" s="186"/>
      <c r="L32" s="186"/>
      <c r="M32" s="186"/>
    </row>
    <row r="33" spans="3:13" x14ac:dyDescent="0.25">
      <c r="C33" s="181" t="s">
        <v>73</v>
      </c>
      <c r="D33" s="187" t="str">
        <f>IFERROR(VLOOKUP(Somatotipo!$F$40,Tablas!$L$10:$Q$14,6,1),"")</f>
        <v>No presenta un rango</v>
      </c>
      <c r="E33" s="188"/>
      <c r="F33" s="188"/>
      <c r="G33" s="188"/>
      <c r="H33" s="188"/>
      <c r="I33" s="188"/>
      <c r="J33" s="188"/>
      <c r="K33" s="188"/>
      <c r="L33" s="188"/>
      <c r="M33" s="188"/>
    </row>
    <row r="34" spans="3:13" x14ac:dyDescent="0.25">
      <c r="C34" s="181"/>
      <c r="D34" s="189"/>
      <c r="E34" s="190"/>
      <c r="F34" s="190"/>
      <c r="G34" s="190"/>
      <c r="H34" s="190"/>
      <c r="I34" s="190"/>
      <c r="J34" s="190"/>
      <c r="K34" s="190"/>
      <c r="L34" s="190"/>
      <c r="M34" s="190"/>
    </row>
  </sheetData>
  <sheetProtection algorithmName="SHA-512" hashValue="j0W0kIZYC0pxWHP8TPtq6+TwbXrHuXqTWH4imq4cjgjf9fa882uJjcHCpTWlagtwWkUVKI7SuamGuahN9sN1XQ==" saltValue="BTrO8ukK+WxJusJyBhDiiw==" spinCount="100000" sheet="1" objects="1" scenarios="1" selectLockedCells="1"/>
  <mergeCells count="15">
    <mergeCell ref="C33:C34"/>
    <mergeCell ref="D29:M30"/>
    <mergeCell ref="D31:M32"/>
    <mergeCell ref="D33:M34"/>
    <mergeCell ref="B1:M2"/>
    <mergeCell ref="K23:L23"/>
    <mergeCell ref="C29:C30"/>
    <mergeCell ref="C31:C32"/>
    <mergeCell ref="B27:M27"/>
    <mergeCell ref="H23:I23"/>
    <mergeCell ref="K24:L24"/>
    <mergeCell ref="B18:B25"/>
    <mergeCell ref="C28:M28"/>
    <mergeCell ref="C4:E5"/>
    <mergeCell ref="B4:B5"/>
  </mergeCells>
  <dataValidations count="1">
    <dataValidation type="list" allowBlank="1" showInputMessage="1" showErrorMessage="1" sqref="E9" xr:uid="{00000000-0002-0000-0200-000000000000}">
      <formula1>"Harris_Benedict,Katch_McArdle,Miffin_St.Jeor,OMS"</formula1>
    </dataValidation>
  </dataValidations>
  <pageMargins left="0.7" right="0.7" top="0.75" bottom="0.75" header="0.3" footer="0.3"/>
  <pageSetup scale="42" orientation="portrait" horizontalDpi="300" verticalDpi="30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D5A20E1-9459-42DC-AE74-B367198C5800}">
          <x14:formula1>
            <xm:f>Personas!$A$3:$A$11</xm:f>
          </x14:formula1>
          <xm:sqref>C4:E5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C2:N47"/>
  <sheetViews>
    <sheetView showGridLines="0" showRowColHeaders="0" zoomScaleNormal="100" zoomScaleSheetLayoutView="98" workbookViewId="0">
      <selection activeCell="F40" sqref="F40"/>
    </sheetView>
  </sheetViews>
  <sheetFormatPr baseColWidth="10" defaultColWidth="11.42578125" defaultRowHeight="15" x14ac:dyDescent="0.25"/>
  <cols>
    <col min="3" max="3" width="30.140625" customWidth="1"/>
    <col min="4" max="4" width="18.140625" customWidth="1"/>
    <col min="5" max="5" width="14.85546875" customWidth="1"/>
    <col min="6" max="6" width="14.42578125" customWidth="1"/>
    <col min="7" max="7" width="10.42578125" customWidth="1"/>
    <col min="10" max="10" width="11.85546875" bestFit="1" customWidth="1"/>
  </cols>
  <sheetData>
    <row r="2" spans="3:14" x14ac:dyDescent="0.25">
      <c r="C2" s="206" t="s">
        <v>51</v>
      </c>
      <c r="D2" s="206"/>
      <c r="E2" s="206"/>
      <c r="F2" s="206"/>
      <c r="G2" s="206"/>
      <c r="H2" s="206"/>
    </row>
    <row r="3" spans="3:14" x14ac:dyDescent="0.25">
      <c r="C3" s="206"/>
      <c r="D3" s="206"/>
      <c r="E3" s="206"/>
      <c r="F3" s="206"/>
      <c r="G3" s="206"/>
      <c r="H3" s="206"/>
    </row>
    <row r="5" spans="3:14" x14ac:dyDescent="0.25">
      <c r="C5" s="26" t="s">
        <v>52</v>
      </c>
      <c r="D5" s="50" t="str">
        <f>Persona</f>
        <v>Jose Manuel Hernandez</v>
      </c>
      <c r="E5" s="26" t="s">
        <v>7</v>
      </c>
      <c r="F5" s="50">
        <f>edad</f>
        <v>35</v>
      </c>
      <c r="G5" s="26" t="s">
        <v>53</v>
      </c>
      <c r="H5" s="50" t="str">
        <f>genero</f>
        <v>Hombre</v>
      </c>
    </row>
    <row r="6" spans="3:14" x14ac:dyDescent="0.25">
      <c r="C6" s="13" t="s">
        <v>118</v>
      </c>
    </row>
    <row r="7" spans="3:14" x14ac:dyDescent="0.25">
      <c r="N7" s="27"/>
    </row>
    <row r="8" spans="3:14" x14ac:dyDescent="0.25">
      <c r="C8" s="18"/>
      <c r="D8" s="96" t="s">
        <v>54</v>
      </c>
      <c r="E8" s="96" t="s">
        <v>55</v>
      </c>
      <c r="F8" s="96" t="s">
        <v>56</v>
      </c>
      <c r="G8" s="96" t="s">
        <v>57</v>
      </c>
    </row>
    <row r="9" spans="3:14" x14ac:dyDescent="0.25">
      <c r="C9" s="28" t="s">
        <v>68</v>
      </c>
      <c r="D9" s="82">
        <f>IFERROR(altura*100,"")</f>
        <v>178</v>
      </c>
      <c r="E9" s="83"/>
      <c r="F9" s="83"/>
      <c r="G9" s="84">
        <f>IF(ISNUMBER(AVERAGE(D9:F9)),AVERAGE(D9:F9),"")</f>
        <v>178</v>
      </c>
    </row>
    <row r="10" spans="3:14" x14ac:dyDescent="0.25">
      <c r="C10" s="28" t="s">
        <v>66</v>
      </c>
      <c r="D10" s="88">
        <f>IFERROR(VLOOKUP(Persona,clientes[],10,0),"")</f>
        <v>6.8</v>
      </c>
      <c r="E10" s="89"/>
      <c r="F10" s="89"/>
      <c r="G10" s="90">
        <f t="shared" ref="G10:G13" si="0">IF(ISNUMBER(AVERAGE(D10:F10)),AVERAGE(D10:F10),"")</f>
        <v>6.8</v>
      </c>
    </row>
    <row r="11" spans="3:14" x14ac:dyDescent="0.25">
      <c r="C11" s="28" t="s">
        <v>58</v>
      </c>
      <c r="D11" s="88">
        <f>IFERROR(VLOOKUP(Persona,clientes[],11,0),"")</f>
        <v>8.6</v>
      </c>
      <c r="E11" s="89"/>
      <c r="F11" s="89"/>
      <c r="G11" s="90">
        <f t="shared" si="0"/>
        <v>8.6</v>
      </c>
    </row>
    <row r="12" spans="3:14" x14ac:dyDescent="0.25">
      <c r="C12" s="28" t="s">
        <v>59</v>
      </c>
      <c r="D12" s="88">
        <f>IFERROR(VLOOKUP(Persona,clientes[],12,0),"")</f>
        <v>15</v>
      </c>
      <c r="E12" s="89"/>
      <c r="F12" s="89"/>
      <c r="G12" s="90">
        <f t="shared" si="0"/>
        <v>15</v>
      </c>
    </row>
    <row r="13" spans="3:14" x14ac:dyDescent="0.25">
      <c r="C13" s="28" t="s">
        <v>115</v>
      </c>
      <c r="D13" s="88">
        <f>IFERROR(VLOOKUP(Persona,clientes[],19,0),"")</f>
        <v>54</v>
      </c>
      <c r="E13" s="89"/>
      <c r="F13" s="89"/>
      <c r="G13" s="90">
        <f t="shared" si="0"/>
        <v>54</v>
      </c>
    </row>
    <row r="14" spans="3:14" x14ac:dyDescent="0.25">
      <c r="C14" s="13"/>
    </row>
    <row r="15" spans="3:14" x14ac:dyDescent="0.25">
      <c r="C15" s="13" t="s">
        <v>61</v>
      </c>
      <c r="D15" s="70">
        <f>IF((SUM(G10:G12)&lt;&gt;0),SUM(G10:G12),"")</f>
        <v>30.4</v>
      </c>
    </row>
    <row r="16" spans="3:14" x14ac:dyDescent="0.25">
      <c r="C16" s="13"/>
      <c r="D16" s="13" t="s">
        <v>60</v>
      </c>
      <c r="E16" s="37">
        <f>IFERROR(D15*(170.18/D9),"")</f>
        <v>29.064449438202249</v>
      </c>
    </row>
    <row r="17" spans="3:7" x14ac:dyDescent="0.25">
      <c r="C17" s="13"/>
      <c r="E17" s="13" t="s">
        <v>63</v>
      </c>
      <c r="F17" s="38">
        <f>IFERROR(-0.7182+0.1451*E16+0.00068*E16^2+0.0000014*E16^3,"")</f>
        <v>4.107849078467031</v>
      </c>
    </row>
    <row r="19" spans="3:7" x14ac:dyDescent="0.25">
      <c r="C19" s="28"/>
      <c r="D19" s="96" t="s">
        <v>54</v>
      </c>
      <c r="E19" s="96" t="s">
        <v>55</v>
      </c>
      <c r="F19" s="96" t="s">
        <v>56</v>
      </c>
      <c r="G19" s="96" t="s">
        <v>57</v>
      </c>
    </row>
    <row r="20" spans="3:7" x14ac:dyDescent="0.25">
      <c r="C20" s="28" t="s">
        <v>119</v>
      </c>
      <c r="D20" s="82">
        <f>IFERROR(VLOOKUP(Persona,clientes[],20,0),"")</f>
        <v>32</v>
      </c>
      <c r="E20" s="82"/>
      <c r="F20" s="83"/>
      <c r="G20" s="84">
        <f>IF(ISNUMBER(AVERAGE(D20:F20)),AVERAGE(D20:F20),"")</f>
        <v>32</v>
      </c>
    </row>
    <row r="21" spans="3:7" x14ac:dyDescent="0.25">
      <c r="C21" s="28" t="s">
        <v>62</v>
      </c>
      <c r="D21" s="82">
        <f>IFERROR(VLOOKUP(Persona,clientes[],18,0),"")</f>
        <v>42</v>
      </c>
      <c r="E21" s="83"/>
      <c r="F21" s="83"/>
      <c r="G21" s="84">
        <f t="shared" ref="G21:G24" si="1">IF(ISNUMBER(AVERAGE(D21:F21)),AVERAGE(D21:F21),"")</f>
        <v>42</v>
      </c>
    </row>
    <row r="22" spans="3:7" x14ac:dyDescent="0.25">
      <c r="C22" s="28" t="s">
        <v>85</v>
      </c>
      <c r="D22" s="82">
        <f>IFERROR(VLOOKUP(Persona,clientes[],23,0),"")</f>
        <v>7.8</v>
      </c>
      <c r="E22" s="83"/>
      <c r="F22" s="83"/>
      <c r="G22" s="84">
        <f t="shared" si="1"/>
        <v>7.8</v>
      </c>
    </row>
    <row r="23" spans="3:7" x14ac:dyDescent="0.25">
      <c r="C23" s="28" t="s">
        <v>69</v>
      </c>
      <c r="D23" s="82">
        <f>IFERROR(VLOOKUP(Persona,clientes[],24,0),"")</f>
        <v>10.199999999999999</v>
      </c>
      <c r="E23" s="83"/>
      <c r="F23" s="83"/>
      <c r="G23" s="84">
        <f t="shared" si="1"/>
        <v>10.199999999999999</v>
      </c>
    </row>
    <row r="24" spans="3:7" x14ac:dyDescent="0.25">
      <c r="C24" s="28" t="s">
        <v>120</v>
      </c>
      <c r="D24" s="85">
        <f>IFERROR(VLOOKUP(Persona,clientes[],14,0),"")</f>
        <v>8.9</v>
      </c>
      <c r="E24" s="86"/>
      <c r="F24" s="86"/>
      <c r="G24" s="87">
        <f t="shared" si="1"/>
        <v>8.9</v>
      </c>
    </row>
    <row r="25" spans="3:7" x14ac:dyDescent="0.25">
      <c r="C25" s="13"/>
      <c r="E25" t="s">
        <v>86</v>
      </c>
    </row>
    <row r="26" spans="3:7" x14ac:dyDescent="0.25">
      <c r="C26" s="13" t="s">
        <v>64</v>
      </c>
      <c r="D26" s="36">
        <f>IFERROR(G20-(G10/10),"")</f>
        <v>31.32</v>
      </c>
      <c r="E26" s="30" t="s">
        <v>65</v>
      </c>
    </row>
    <row r="27" spans="3:7" x14ac:dyDescent="0.25">
      <c r="C27" s="13" t="s">
        <v>70</v>
      </c>
      <c r="D27" s="36">
        <f>IFERROR(G20-(G24/10),"")</f>
        <v>31.11</v>
      </c>
      <c r="E27" s="31" t="s">
        <v>71</v>
      </c>
    </row>
    <row r="28" spans="3:7" x14ac:dyDescent="0.25">
      <c r="C28" s="13"/>
      <c r="E28" s="13" t="s">
        <v>67</v>
      </c>
      <c r="F28" s="38">
        <f>IFERROR(0.85*G22+0.601*G23+0.188*D26+0.131*D27-0.131*G9+4.5,"")</f>
        <v>3.9057700000000004</v>
      </c>
    </row>
    <row r="30" spans="3:7" x14ac:dyDescent="0.25">
      <c r="C30" s="28"/>
      <c r="D30" s="96" t="s">
        <v>54</v>
      </c>
      <c r="E30" s="96" t="s">
        <v>55</v>
      </c>
      <c r="F30" s="96" t="s">
        <v>56</v>
      </c>
      <c r="G30" s="96" t="s">
        <v>57</v>
      </c>
    </row>
    <row r="31" spans="3:7" x14ac:dyDescent="0.25">
      <c r="C31" s="28" t="s">
        <v>72</v>
      </c>
      <c r="D31" s="47">
        <f>peso</f>
        <v>89</v>
      </c>
      <c r="E31" s="48"/>
      <c r="F31" s="48"/>
      <c r="G31" s="49">
        <f>IF(ISNUMBER(AVERAGE(D31:F31)),AVERAGE(D31:F31),"")</f>
        <v>89</v>
      </c>
    </row>
    <row r="33" spans="3:14" x14ac:dyDescent="0.25">
      <c r="C33" s="34" t="s">
        <v>73</v>
      </c>
      <c r="D33" s="13" t="s">
        <v>87</v>
      </c>
      <c r="E33" s="38">
        <f>IF(AND(G31&lt;&gt;"",G9&lt;&gt;""),G9/POWER(G31,1/3),"")</f>
        <v>39.867897537092375</v>
      </c>
      <c r="F33" s="35"/>
    </row>
    <row r="35" spans="3:14" x14ac:dyDescent="0.25">
      <c r="D35" s="13" t="s">
        <v>75</v>
      </c>
      <c r="E35" s="13" t="s">
        <v>88</v>
      </c>
      <c r="F35" s="38">
        <f>IFERROR(E33*0.732-28.58,"")</f>
        <v>0.60330099715162078</v>
      </c>
    </row>
    <row r="36" spans="3:14" x14ac:dyDescent="0.25">
      <c r="D36" s="13" t="s">
        <v>206</v>
      </c>
      <c r="E36" s="13" t="s">
        <v>76</v>
      </c>
      <c r="F36" s="38">
        <f>IFERROR(E33*0.463-17.63,"")</f>
        <v>0.82883655967377123</v>
      </c>
    </row>
    <row r="37" spans="3:14" x14ac:dyDescent="0.25">
      <c r="D37" s="13" t="s">
        <v>74</v>
      </c>
      <c r="E37" s="13" t="s">
        <v>77</v>
      </c>
      <c r="F37" s="38">
        <v>0.1</v>
      </c>
    </row>
    <row r="38" spans="3:14" ht="15.75" thickBot="1" x14ac:dyDescent="0.3"/>
    <row r="39" spans="3:14" x14ac:dyDescent="0.25">
      <c r="D39" s="42" t="s">
        <v>78</v>
      </c>
      <c r="E39" s="43" t="s">
        <v>79</v>
      </c>
      <c r="F39" s="44" t="s">
        <v>80</v>
      </c>
    </row>
    <row r="40" spans="3:14" x14ac:dyDescent="0.25">
      <c r="D40" s="39">
        <f>F17</f>
        <v>4.107849078467031</v>
      </c>
      <c r="E40" s="39">
        <f>F28</f>
        <v>3.9057700000000004</v>
      </c>
      <c r="F40" s="40">
        <f>IF(E33&gt;40.75,F35,IF(E33&gt;38.28,F36,F37))</f>
        <v>0.82883655967377123</v>
      </c>
    </row>
    <row r="42" spans="3:14" x14ac:dyDescent="0.25">
      <c r="C42" s="13" t="s">
        <v>83</v>
      </c>
      <c r="D42" s="45" t="s">
        <v>81</v>
      </c>
      <c r="E42" s="41">
        <f>IF(ISNUMBER(F40-D40),F40-D40,0)</f>
        <v>-3.2790125187932597</v>
      </c>
      <c r="F42" s="46"/>
      <c r="G42" s="97"/>
    </row>
    <row r="43" spans="3:14" x14ac:dyDescent="0.25">
      <c r="C43" s="13" t="s">
        <v>84</v>
      </c>
      <c r="D43" s="45" t="s">
        <v>82</v>
      </c>
      <c r="E43" s="41">
        <f>IF(ISNUMBER(2*E40-(F40+D40)),2*E40-(F40+D40),0)</f>
        <v>2.8748543618591986</v>
      </c>
      <c r="F43" s="46"/>
      <c r="G43" s="97"/>
    </row>
    <row r="46" spans="3:14" ht="16.5" x14ac:dyDescent="0.3">
      <c r="C46" s="196" t="s">
        <v>29</v>
      </c>
      <c r="D46" s="196"/>
      <c r="E46" s="196"/>
      <c r="F46" s="196"/>
      <c r="G46" s="196"/>
      <c r="H46" s="196"/>
      <c r="I46" s="196"/>
      <c r="J46" s="196"/>
      <c r="K46" s="196"/>
      <c r="L46" s="196"/>
      <c r="M46" s="196"/>
      <c r="N46" s="196"/>
    </row>
    <row r="47" spans="3:14" x14ac:dyDescent="0.25">
      <c r="C47" s="33" t="s">
        <v>113</v>
      </c>
      <c r="D47" s="72" t="s">
        <v>114</v>
      </c>
    </row>
  </sheetData>
  <sheetProtection algorithmName="SHA-512" hashValue="UVQa4gkmMvjN67pe92xlw9uAjqOdHEEYqtAjn1jongOJvaG9PekiSMMo8KHqPtXUdFQVMFlDv0b11hBILISsHQ==" saltValue="gyzg0hwnpQbxtWKFa/qJ8w==" spinCount="100000" sheet="1" objects="1" scenarios="1" selectLockedCells="1"/>
  <mergeCells count="2">
    <mergeCell ref="C2:H3"/>
    <mergeCell ref="C46:N46"/>
  </mergeCells>
  <hyperlinks>
    <hyperlink ref="D47" r:id="rId1" location="v=onepage&amp;q=mesomorf%C3%ADa%20ecuaci%C3%B3n&amp;f=false" xr:uid="{00000000-0004-0000-0300-000000000000}"/>
  </hyperlinks>
  <pageMargins left="0.7" right="0.7" top="0.75" bottom="0.75" header="0.3" footer="0.3"/>
  <pageSetup paperSize="9" scale="40" orientation="portrait" horizontalDpi="300" verticalDpi="30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P38"/>
  <sheetViews>
    <sheetView showGridLines="0" showRowColHeaders="0" topLeftCell="A4" zoomScaleNormal="100" workbookViewId="0">
      <selection activeCell="N6" sqref="N6"/>
    </sheetView>
  </sheetViews>
  <sheetFormatPr baseColWidth="10" defaultColWidth="11.42578125" defaultRowHeight="15" x14ac:dyDescent="0.25"/>
  <cols>
    <col min="2" max="2" width="8.42578125" customWidth="1"/>
    <col min="4" max="4" width="6.42578125" customWidth="1"/>
    <col min="5" max="5" width="4.28515625" customWidth="1"/>
    <col min="7" max="7" width="11.85546875" bestFit="1" customWidth="1"/>
    <col min="8" max="8" width="5.140625" customWidth="1"/>
    <col min="12" max="12" width="15.42578125" customWidth="1"/>
    <col min="13" max="13" width="7.85546875" customWidth="1"/>
    <col min="14" max="14" width="12.85546875" bestFit="1" customWidth="1"/>
  </cols>
  <sheetData>
    <row r="1" spans="1:14" x14ac:dyDescent="0.25">
      <c r="B1" s="207" t="s">
        <v>202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</row>
    <row r="2" spans="1:14" x14ac:dyDescent="0.25"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</row>
    <row r="3" spans="1:14" x14ac:dyDescent="0.25"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</row>
    <row r="4" spans="1:14" ht="18.75" x14ac:dyDescent="0.3">
      <c r="K4" s="208" t="str">
        <f>Plantilla!C4</f>
        <v>Jose Manuel Hernandez</v>
      </c>
      <c r="L4" s="208"/>
      <c r="M4" s="208"/>
      <c r="N4" s="208"/>
    </row>
    <row r="6" spans="1:14" ht="24.75" customHeight="1" x14ac:dyDescent="0.25">
      <c r="A6" s="209" t="s">
        <v>110</v>
      </c>
      <c r="B6" s="209"/>
      <c r="C6" s="209"/>
      <c r="D6" s="209"/>
      <c r="E6" s="210" t="s">
        <v>102</v>
      </c>
      <c r="F6" s="210"/>
      <c r="G6" s="210"/>
      <c r="K6" s="63" t="s">
        <v>91</v>
      </c>
      <c r="L6" s="66"/>
      <c r="M6" s="63" t="s">
        <v>8</v>
      </c>
      <c r="N6" s="66"/>
    </row>
    <row r="7" spans="1:14" ht="18.75" x14ac:dyDescent="0.25">
      <c r="A7" s="64"/>
      <c r="B7" s="65"/>
      <c r="C7" s="65"/>
      <c r="D7" s="65"/>
      <c r="L7" s="67"/>
      <c r="N7" s="67"/>
    </row>
    <row r="8" spans="1:14" ht="21" customHeight="1" x14ac:dyDescent="0.25">
      <c r="A8" s="209" t="s">
        <v>109</v>
      </c>
      <c r="B8" s="209"/>
      <c r="C8" s="209"/>
      <c r="D8" s="209"/>
      <c r="E8" s="210" t="s">
        <v>200</v>
      </c>
      <c r="F8" s="210"/>
      <c r="G8" s="210"/>
      <c r="L8" s="67"/>
      <c r="N8" s="67"/>
    </row>
    <row r="9" spans="1:14" ht="27" customHeight="1" x14ac:dyDescent="0.25">
      <c r="K9" s="63" t="s">
        <v>107</v>
      </c>
      <c r="L9" s="69">
        <f>G23</f>
        <v>21.314857406736731</v>
      </c>
      <c r="M9" s="63" t="s">
        <v>8</v>
      </c>
      <c r="N9" s="68">
        <f>peso*L9/100</f>
        <v>18.970223091995692</v>
      </c>
    </row>
    <row r="10" spans="1:14" x14ac:dyDescent="0.25">
      <c r="B10" s="53" t="s">
        <v>8</v>
      </c>
      <c r="C10" s="55">
        <f>peso</f>
        <v>89</v>
      </c>
      <c r="D10" s="53" t="s">
        <v>7</v>
      </c>
      <c r="E10">
        <f>edad</f>
        <v>35</v>
      </c>
      <c r="F10" s="53" t="s">
        <v>103</v>
      </c>
      <c r="G10" s="56">
        <f>altura</f>
        <v>1.78</v>
      </c>
    </row>
    <row r="11" spans="1:14" ht="15" customHeight="1" x14ac:dyDescent="0.25">
      <c r="A11" s="211" t="s">
        <v>93</v>
      </c>
      <c r="B11" s="52"/>
      <c r="C11" s="52"/>
      <c r="D11" s="52"/>
      <c r="E11" s="211" t="s">
        <v>101</v>
      </c>
      <c r="F11" s="52"/>
      <c r="G11" s="52"/>
    </row>
    <row r="12" spans="1:14" x14ac:dyDescent="0.25">
      <c r="A12" s="211"/>
      <c r="B12" s="53" t="s">
        <v>89</v>
      </c>
      <c r="C12" s="57">
        <f>IFERROR(VLOOKUP(Persona, clientes[],21,0),"")</f>
        <v>102</v>
      </c>
      <c r="D12" s="54">
        <v>0</v>
      </c>
      <c r="E12" s="211"/>
      <c r="F12" s="53" t="s">
        <v>94</v>
      </c>
      <c r="G12" s="74">
        <v>15</v>
      </c>
      <c r="H12" s="51">
        <v>0</v>
      </c>
    </row>
    <row r="13" spans="1:14" x14ac:dyDescent="0.25">
      <c r="A13" s="211"/>
      <c r="B13" s="53" t="s">
        <v>37</v>
      </c>
      <c r="C13" s="57">
        <f>IFERROR(VLOOKUP(Persona, clientes[],18,0),"")</f>
        <v>42</v>
      </c>
      <c r="D13" s="54">
        <v>0</v>
      </c>
      <c r="E13" s="211"/>
      <c r="F13" s="53" t="s">
        <v>95</v>
      </c>
      <c r="G13" s="74"/>
      <c r="H13" s="51">
        <v>0</v>
      </c>
      <c r="K13" s="29" t="s">
        <v>203</v>
      </c>
    </row>
    <row r="14" spans="1:14" x14ac:dyDescent="0.25">
      <c r="A14" s="211"/>
      <c r="B14" s="53" t="s">
        <v>90</v>
      </c>
      <c r="C14" s="57">
        <f>IFERROR(VLOOKUP(Persona, clientes[],17,0),"")</f>
        <v>40</v>
      </c>
      <c r="D14" s="54">
        <v>0</v>
      </c>
      <c r="E14" s="211"/>
      <c r="F14" s="53" t="s">
        <v>96</v>
      </c>
      <c r="G14" s="74">
        <v>12</v>
      </c>
      <c r="H14" s="51">
        <v>0</v>
      </c>
    </row>
    <row r="15" spans="1:14" x14ac:dyDescent="0.25">
      <c r="A15" s="211"/>
      <c r="B15" s="53" t="s">
        <v>38</v>
      </c>
      <c r="C15" s="57">
        <f>IFERROR(VLOOKUP(Persona, clientes[],21,0),"")</f>
        <v>102</v>
      </c>
      <c r="D15" s="54">
        <v>0</v>
      </c>
      <c r="E15" s="211"/>
      <c r="F15" s="53" t="s">
        <v>97</v>
      </c>
      <c r="G15" s="74"/>
      <c r="H15" s="51">
        <v>0</v>
      </c>
      <c r="L15">
        <f>(4.95/$G$22-4.5)*100</f>
        <v>21.314857406736731</v>
      </c>
    </row>
    <row r="16" spans="1:14" x14ac:dyDescent="0.25">
      <c r="A16" s="211"/>
      <c r="B16" s="53" t="s">
        <v>92</v>
      </c>
      <c r="C16" s="57">
        <f>IFERROR(VLOOKUP(Persona, clientes[],21,0),"")</f>
        <v>102</v>
      </c>
      <c r="D16" s="54">
        <v>0</v>
      </c>
      <c r="E16" s="211"/>
      <c r="F16" s="53" t="s">
        <v>98</v>
      </c>
      <c r="G16" s="74">
        <v>22</v>
      </c>
      <c r="H16" s="51">
        <v>0</v>
      </c>
      <c r="K16" t="s">
        <v>104</v>
      </c>
      <c r="L16">
        <f>IF(genero="Hombre",HLOOKUP(edad,tablaDurnin,4,1),HLOOKUP(edad,tablaDurnin,2,1))</f>
        <v>1.1422000000000001</v>
      </c>
    </row>
    <row r="17" spans="1:15" x14ac:dyDescent="0.25">
      <c r="A17" s="211"/>
      <c r="B17" s="52"/>
      <c r="C17" s="52"/>
      <c r="D17" s="54">
        <v>0</v>
      </c>
      <c r="E17" s="211"/>
      <c r="F17" s="53" t="s">
        <v>99</v>
      </c>
      <c r="G17" s="74"/>
      <c r="H17" s="51">
        <v>0</v>
      </c>
      <c r="K17" t="s">
        <v>105</v>
      </c>
      <c r="L17">
        <f>IF(genero="Hombre",HLOOKUP(edad,tablaDurnin,5,1),HLOOKUP(edad,tablaDurnin,5,1))</f>
        <v>5.4399999999999997E-2</v>
      </c>
    </row>
    <row r="18" spans="1:15" x14ac:dyDescent="0.25">
      <c r="A18" s="211"/>
      <c r="B18" s="52"/>
      <c r="C18" s="52"/>
      <c r="D18" s="54">
        <v>0</v>
      </c>
      <c r="E18" s="211"/>
      <c r="F18" s="53" t="s">
        <v>157</v>
      </c>
      <c r="G18" s="74">
        <v>22</v>
      </c>
      <c r="H18" s="51">
        <v>0</v>
      </c>
    </row>
    <row r="19" spans="1:15" x14ac:dyDescent="0.25">
      <c r="A19" s="211"/>
      <c r="B19" s="53" t="s">
        <v>39</v>
      </c>
      <c r="C19" s="57"/>
      <c r="D19" s="54">
        <v>0</v>
      </c>
      <c r="E19" s="211"/>
      <c r="F19" s="53" t="s">
        <v>38</v>
      </c>
      <c r="G19" s="74"/>
      <c r="H19" s="51">
        <v>0</v>
      </c>
      <c r="K19" s="91">
        <f>SUM(G12:G16)</f>
        <v>49</v>
      </c>
    </row>
    <row r="20" spans="1:15" x14ac:dyDescent="0.25">
      <c r="A20" s="211"/>
      <c r="B20" s="53" t="s">
        <v>36</v>
      </c>
      <c r="C20" s="57"/>
      <c r="D20" s="54">
        <v>0</v>
      </c>
      <c r="E20" s="211"/>
      <c r="F20" s="53" t="s">
        <v>92</v>
      </c>
      <c r="G20" s="74"/>
      <c r="H20" s="51">
        <v>0</v>
      </c>
    </row>
    <row r="21" spans="1:15" x14ac:dyDescent="0.25">
      <c r="A21" s="211"/>
      <c r="B21" s="53" t="s">
        <v>100</v>
      </c>
      <c r="C21" s="57"/>
      <c r="D21" s="54">
        <v>0</v>
      </c>
      <c r="E21" s="211"/>
      <c r="F21" s="52"/>
      <c r="G21" s="52"/>
    </row>
    <row r="22" spans="1:15" x14ac:dyDescent="0.25">
      <c r="F22" s="53" t="s">
        <v>108</v>
      </c>
      <c r="G22" s="25" cm="1">
        <f t="array" ref="G22">IF(OR(E8="Durnin",E8="Siri"),Durnin,3)</f>
        <v>1.050253333246449</v>
      </c>
      <c r="K22">
        <f>C10*D26/100</f>
        <v>111.99903043820699</v>
      </c>
    </row>
    <row r="23" spans="1:15" x14ac:dyDescent="0.25">
      <c r="F23" s="53" t="s">
        <v>107</v>
      </c>
      <c r="G23" s="25" cm="1">
        <f t="array" ref="G23">grasaSiri</f>
        <v>21.314857406736731</v>
      </c>
    </row>
    <row r="24" spans="1:15" x14ac:dyDescent="0.25">
      <c r="N24">
        <f>G10*(0.284+0.0029*N25)</f>
        <v>2.8553787135360791</v>
      </c>
      <c r="O24" s="92" t="s">
        <v>166</v>
      </c>
    </row>
    <row r="25" spans="1:15" x14ac:dyDescent="0.25">
      <c r="F25" s="92" t="s">
        <v>102</v>
      </c>
      <c r="N25">
        <f>((C13-PI()*G14/10)^2)/PI()-10</f>
        <v>455.22253264937603</v>
      </c>
      <c r="O25" t="s">
        <v>165</v>
      </c>
    </row>
    <row r="26" spans="1:15" x14ac:dyDescent="0.25">
      <c r="D26" s="94">
        <f xml:space="preserve"> G10* (0.00744*(C13-PI()*(G14/10))^2 + 0.00088 * (C15-(PI()*G19/10))^2 + 0.00441 * (C16-(PI()*G20/10))^2 )+ 2.4 * 1 - 0.048 * E10 + 0 + 7.8</f>
        <v>125.84160723394044</v>
      </c>
      <c r="F26" s="29" t="s">
        <v>167</v>
      </c>
      <c r="G26" s="29"/>
      <c r="H26" s="29"/>
      <c r="I26" s="29"/>
    </row>
    <row r="27" spans="1:15" x14ac:dyDescent="0.25">
      <c r="F27" s="29" t="s">
        <v>155</v>
      </c>
      <c r="G27" s="29"/>
      <c r="H27" s="29"/>
      <c r="I27" s="29"/>
      <c r="N27">
        <f>(N29*(170.18/(G10*100))-207.21)/13.74</f>
        <v>11.064788200121026</v>
      </c>
      <c r="O27" s="92" t="s">
        <v>169</v>
      </c>
    </row>
    <row r="28" spans="1:15" x14ac:dyDescent="0.25">
      <c r="F28" s="92" t="s">
        <v>156</v>
      </c>
      <c r="G28" s="29"/>
      <c r="H28" s="29"/>
      <c r="I28" s="29"/>
      <c r="O28" s="29" t="s">
        <v>168</v>
      </c>
    </row>
    <row r="29" spans="1:15" x14ac:dyDescent="0.25">
      <c r="F29" s="29" t="s">
        <v>153</v>
      </c>
      <c r="G29" s="29"/>
      <c r="H29" s="29"/>
      <c r="I29" s="29"/>
      <c r="N29">
        <f>(C13-3.1416*G14/10)+(C14-3.1416*G14/10)+(C15-3.1416*G19/10)+(C16-3.1416*G20/10)+(C12-3.1416*G12/10)</f>
        <v>375.74775999999997</v>
      </c>
      <c r="O29" s="29" t="s">
        <v>170</v>
      </c>
    </row>
    <row r="30" spans="1:15" x14ac:dyDescent="0.25">
      <c r="F30" s="29" t="s">
        <v>154</v>
      </c>
      <c r="G30" s="29"/>
      <c r="H30" s="29"/>
      <c r="I30" s="29"/>
      <c r="N30" s="93">
        <f>(N27*5.4+24.5)/(170.18/(G10*100))</f>
        <v>88.121250546223592</v>
      </c>
      <c r="O30" s="92" t="s">
        <v>171</v>
      </c>
    </row>
    <row r="31" spans="1:15" x14ac:dyDescent="0.25">
      <c r="F31" s="92" t="s">
        <v>158</v>
      </c>
    </row>
    <row r="32" spans="1:15" x14ac:dyDescent="0.25">
      <c r="F32" s="29" t="s">
        <v>159</v>
      </c>
      <c r="O32" s="92" t="s">
        <v>172</v>
      </c>
    </row>
    <row r="33" spans="3:16" x14ac:dyDescent="0.25">
      <c r="F33" s="29" t="s">
        <v>174</v>
      </c>
      <c r="G33" s="29" t="s">
        <v>162</v>
      </c>
      <c r="N33" s="32">
        <f>SUM(G12,G14,G16,G18)*0.153+5.783</f>
        <v>16.646000000000001</v>
      </c>
      <c r="O33" s="29" t="s">
        <v>12</v>
      </c>
      <c r="P33" s="29" t="s">
        <v>175</v>
      </c>
    </row>
    <row r="34" spans="3:16" x14ac:dyDescent="0.25">
      <c r="F34" s="29" t="s">
        <v>160</v>
      </c>
      <c r="G34" s="29" t="s">
        <v>161</v>
      </c>
      <c r="N34" s="32">
        <f>SUM(G12,G14,G16,G18)*0.213+7.9</f>
        <v>23.023</v>
      </c>
      <c r="O34" s="29" t="s">
        <v>25</v>
      </c>
      <c r="P34" s="29" t="s">
        <v>173</v>
      </c>
    </row>
    <row r="35" spans="3:16" x14ac:dyDescent="0.25">
      <c r="F35" s="92" t="s">
        <v>163</v>
      </c>
      <c r="G35" s="29" t="s">
        <v>164</v>
      </c>
    </row>
    <row r="38" spans="3:16" ht="16.5" x14ac:dyDescent="0.3">
      <c r="C38" s="196" t="s">
        <v>29</v>
      </c>
      <c r="D38" s="196"/>
      <c r="E38" s="196"/>
      <c r="F38" s="196"/>
      <c r="G38" s="196"/>
      <c r="H38" s="196"/>
      <c r="I38" s="196"/>
      <c r="J38" s="196"/>
      <c r="K38" s="196"/>
      <c r="L38" s="196"/>
      <c r="M38" s="196"/>
      <c r="N38" s="196"/>
    </row>
  </sheetData>
  <mergeCells count="9">
    <mergeCell ref="B1:N3"/>
    <mergeCell ref="K4:N4"/>
    <mergeCell ref="C38:N38"/>
    <mergeCell ref="A6:D6"/>
    <mergeCell ref="A8:D8"/>
    <mergeCell ref="E6:G6"/>
    <mergeCell ref="E8:G8"/>
    <mergeCell ref="A11:A21"/>
    <mergeCell ref="E11:E21"/>
  </mergeCells>
  <conditionalFormatting sqref="D13 H14 D15:D16">
    <cfRule type="expression" dxfId="11" priority="13">
      <formula>$E$6="Lee-1"</formula>
    </cfRule>
  </conditionalFormatting>
  <conditionalFormatting sqref="H12 H14 D12:D16">
    <cfRule type="expression" dxfId="10" priority="12">
      <formula>$E$6="Rosse y Kerr"</formula>
    </cfRule>
  </conditionalFormatting>
  <conditionalFormatting sqref="H12 H14 H18">
    <cfRule type="expression" dxfId="9" priority="9">
      <formula>$E$8="Faulkner"</formula>
    </cfRule>
  </conditionalFormatting>
  <conditionalFormatting sqref="H12 H14:H15">
    <cfRule type="expression" dxfId="8" priority="11">
      <formula>$E$8="Durnin"</formula>
    </cfRule>
  </conditionalFormatting>
  <conditionalFormatting sqref="H12:H14">
    <cfRule type="expression" dxfId="7" priority="10">
      <formula>$E$8="Siri"</formula>
    </cfRule>
  </conditionalFormatting>
  <conditionalFormatting sqref="H16">
    <cfRule type="expression" dxfId="6" priority="1">
      <formula>$E$8="Faulkner"</formula>
    </cfRule>
    <cfRule type="expression" dxfId="5" priority="2">
      <formula>$E$8="Siri"</formula>
    </cfRule>
    <cfRule type="expression" dxfId="4" priority="3">
      <formula>$E$8="Durnin"</formula>
    </cfRule>
    <cfRule type="expression" dxfId="3" priority="4">
      <formula>$E$6="Rosse y Kerr"</formula>
    </cfRule>
    <cfRule type="expression" dxfId="2" priority="5">
      <formula>$E$6="Lee-1"</formula>
    </cfRule>
  </conditionalFormatting>
  <conditionalFormatting sqref="H19:H20">
    <cfRule type="expression" dxfId="1" priority="7">
      <formula>$E$6="Rosse y Kerr"</formula>
    </cfRule>
    <cfRule type="expression" dxfId="0" priority="8">
      <formula>$E$6="Lee-1"</formula>
    </cfRule>
  </conditionalFormatting>
  <dataValidations count="2">
    <dataValidation type="list" allowBlank="1" showInputMessage="1" showErrorMessage="1" promptTitle="Seleccionar" prompt="Seleccionar  ecuación de Estimación" sqref="E6:G6" xr:uid="{00000000-0002-0000-0400-000000000000}">
      <formula1>"Lee-1,Rosse y Kerr, Heimsfield,Ninguna"</formula1>
    </dataValidation>
    <dataValidation type="list" allowBlank="1" showInputMessage="1" showErrorMessage="1" promptTitle="Seleccionar" prompt="Seleccione la ecuación para estimar el musculo" sqref="E8:G8" xr:uid="{00000000-0002-0000-0400-000001000000}">
      <formula1>"Durnin,Siri,Faulkner,No estimar"</formula1>
    </dataValidation>
  </dataValidations>
  <pageMargins left="0.7" right="0.7" top="0.75" bottom="0.75" header="0.3" footer="0.3"/>
  <pageSetup paperSize="9" scale="37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rgb="FF008000"/>
  </sheetPr>
  <dimension ref="A1:Z35"/>
  <sheetViews>
    <sheetView showGridLines="0" showRowColHeaders="0" zoomScale="110" zoomScaleNormal="110" zoomScaleSheetLayoutView="100" workbookViewId="0"/>
  </sheetViews>
  <sheetFormatPr baseColWidth="10" defaultColWidth="11.42578125" defaultRowHeight="15" x14ac:dyDescent="0.25"/>
  <cols>
    <col min="1" max="1" width="25.28515625" style="102" customWidth="1"/>
    <col min="2" max="2" width="9.42578125" style="101" customWidth="1"/>
    <col min="3" max="3" width="9.140625" style="12" customWidth="1"/>
    <col min="4" max="4" width="8.28515625" style="8" customWidth="1"/>
    <col min="5" max="5" width="9.5703125" style="7" customWidth="1"/>
    <col min="6" max="6" width="8" customWidth="1"/>
    <col min="7" max="7" width="9" customWidth="1"/>
    <col min="8" max="8" width="10.28515625" style="10" customWidth="1"/>
    <col min="9" max="9" width="8" style="73" bestFit="1" customWidth="1"/>
    <col min="10" max="10" width="9" style="73" bestFit="1" customWidth="1"/>
    <col min="11" max="11" width="12.7109375" style="73" customWidth="1"/>
    <col min="12" max="12" width="10.85546875" style="73" bestFit="1" customWidth="1"/>
    <col min="13" max="13" width="12.42578125" style="73" bestFit="1" customWidth="1"/>
    <col min="14" max="14" width="10.42578125" style="73" bestFit="1" customWidth="1"/>
    <col min="15" max="18" width="11.42578125" style="71"/>
    <col min="19" max="19" width="13.7109375" style="71" customWidth="1"/>
    <col min="20" max="20" width="13.140625" style="71" customWidth="1"/>
    <col min="21" max="21" width="12.7109375" style="71" customWidth="1"/>
    <col min="22" max="22" width="11.42578125" style="71"/>
  </cols>
  <sheetData>
    <row r="1" spans="1:26" x14ac:dyDescent="0.25">
      <c r="I1" s="213" t="s">
        <v>184</v>
      </c>
      <c r="J1" s="213"/>
      <c r="K1" s="213"/>
      <c r="L1" s="213"/>
      <c r="M1" s="213"/>
      <c r="N1" s="213"/>
      <c r="O1" s="212" t="s">
        <v>117</v>
      </c>
      <c r="P1" s="212"/>
      <c r="Q1" s="212"/>
      <c r="R1" s="212"/>
      <c r="S1" s="212"/>
      <c r="T1" s="212"/>
      <c r="U1" s="212"/>
      <c r="V1" s="212"/>
      <c r="W1" s="212"/>
      <c r="X1" s="212"/>
    </row>
    <row r="2" spans="1:26" ht="45.75" thickBot="1" x14ac:dyDescent="0.3">
      <c r="A2" s="112" t="s">
        <v>5</v>
      </c>
      <c r="B2" s="112" t="s">
        <v>6</v>
      </c>
      <c r="C2" s="113" t="s">
        <v>7</v>
      </c>
      <c r="D2" s="114" t="s">
        <v>8</v>
      </c>
      <c r="E2" s="107" t="s">
        <v>195</v>
      </c>
      <c r="F2" s="108" t="s">
        <v>196</v>
      </c>
      <c r="G2" s="108" t="s">
        <v>197</v>
      </c>
      <c r="H2" s="109" t="s">
        <v>198</v>
      </c>
      <c r="I2" s="110" t="s">
        <v>178</v>
      </c>
      <c r="J2" s="110" t="s">
        <v>179</v>
      </c>
      <c r="K2" s="110" t="s">
        <v>180</v>
      </c>
      <c r="L2" s="110" t="s">
        <v>181</v>
      </c>
      <c r="M2" s="110" t="s">
        <v>182</v>
      </c>
      <c r="N2" s="110" t="s">
        <v>183</v>
      </c>
      <c r="O2" s="111" t="s">
        <v>185</v>
      </c>
      <c r="P2" s="111" t="s">
        <v>186</v>
      </c>
      <c r="Q2" s="111" t="s">
        <v>194</v>
      </c>
      <c r="R2" s="111" t="s">
        <v>193</v>
      </c>
      <c r="S2" s="111" t="s">
        <v>187</v>
      </c>
      <c r="T2" s="111" t="s">
        <v>188</v>
      </c>
      <c r="U2" s="111" t="s">
        <v>189</v>
      </c>
      <c r="V2" s="111" t="s">
        <v>190</v>
      </c>
      <c r="W2" s="111" t="s">
        <v>191</v>
      </c>
      <c r="X2" s="111" t="s">
        <v>192</v>
      </c>
      <c r="Y2" s="129" t="s">
        <v>90</v>
      </c>
      <c r="Z2" s="129" t="s">
        <v>38</v>
      </c>
    </row>
    <row r="3" spans="1:26" ht="15.75" thickTop="1" x14ac:dyDescent="0.25">
      <c r="A3" s="104" t="s">
        <v>11</v>
      </c>
      <c r="B3" s="103" t="s">
        <v>12</v>
      </c>
      <c r="C3" s="11">
        <v>35</v>
      </c>
      <c r="D3" s="4">
        <v>89</v>
      </c>
      <c r="E3" s="6">
        <v>1.78</v>
      </c>
      <c r="F3" s="3">
        <v>1.2</v>
      </c>
      <c r="G3" s="5">
        <v>21</v>
      </c>
      <c r="H3" s="9">
        <v>2480</v>
      </c>
      <c r="I3" s="115">
        <v>5.8</v>
      </c>
      <c r="J3" s="115">
        <v>6.8</v>
      </c>
      <c r="K3" s="115">
        <v>8.6</v>
      </c>
      <c r="L3" s="115">
        <v>15</v>
      </c>
      <c r="M3" s="115">
        <v>13</v>
      </c>
      <c r="N3" s="115">
        <v>8.9</v>
      </c>
      <c r="O3" s="116">
        <v>105</v>
      </c>
      <c r="P3" s="116">
        <v>100</v>
      </c>
      <c r="Q3" s="116">
        <v>40</v>
      </c>
      <c r="R3" s="116">
        <v>42</v>
      </c>
      <c r="S3" s="116">
        <v>54</v>
      </c>
      <c r="T3" s="116">
        <v>32</v>
      </c>
      <c r="U3" s="116">
        <v>102</v>
      </c>
      <c r="V3" s="116">
        <v>15</v>
      </c>
      <c r="W3" s="116">
        <v>7.8</v>
      </c>
      <c r="X3" s="116">
        <v>10.199999999999999</v>
      </c>
      <c r="Y3" s="128"/>
      <c r="Z3" s="128"/>
    </row>
    <row r="4" spans="1:26" x14ac:dyDescent="0.25">
      <c r="A4" s="117" t="s">
        <v>18</v>
      </c>
      <c r="B4" s="118" t="s">
        <v>12</v>
      </c>
      <c r="C4" s="119">
        <v>22</v>
      </c>
      <c r="D4" s="120">
        <v>75</v>
      </c>
      <c r="E4" s="121">
        <v>1.56</v>
      </c>
      <c r="F4" s="122">
        <v>1.4</v>
      </c>
      <c r="G4" s="123">
        <v>22</v>
      </c>
      <c r="H4" s="124">
        <v>2350</v>
      </c>
      <c r="I4" s="125">
        <v>6</v>
      </c>
      <c r="J4" s="125">
        <v>8</v>
      </c>
      <c r="K4" s="125">
        <v>9.5</v>
      </c>
      <c r="L4" s="125">
        <v>18</v>
      </c>
      <c r="M4" s="125">
        <v>16</v>
      </c>
      <c r="N4" s="125">
        <v>10</v>
      </c>
      <c r="O4" s="126">
        <v>106</v>
      </c>
      <c r="P4" s="126">
        <v>102</v>
      </c>
      <c r="Q4" s="126">
        <v>42</v>
      </c>
      <c r="R4" s="126">
        <v>43</v>
      </c>
      <c r="S4" s="126">
        <v>56</v>
      </c>
      <c r="T4" s="126">
        <v>34</v>
      </c>
      <c r="U4" s="126">
        <v>105</v>
      </c>
      <c r="V4" s="126">
        <v>17</v>
      </c>
      <c r="W4" s="126">
        <v>7.5</v>
      </c>
      <c r="X4" s="127">
        <v>9.9</v>
      </c>
      <c r="Y4" s="128"/>
      <c r="Z4" s="128"/>
    </row>
    <row r="5" spans="1:26" x14ac:dyDescent="0.25">
      <c r="A5" s="104" t="s">
        <v>32</v>
      </c>
      <c r="B5" s="103" t="s">
        <v>25</v>
      </c>
      <c r="C5" s="11">
        <v>15</v>
      </c>
      <c r="D5" s="4">
        <v>52</v>
      </c>
      <c r="E5" s="6">
        <v>1.56</v>
      </c>
      <c r="F5" s="3">
        <v>1.3</v>
      </c>
      <c r="G5" s="5">
        <v>19</v>
      </c>
      <c r="H5" s="9">
        <v>2000</v>
      </c>
      <c r="I5" s="115">
        <v>4</v>
      </c>
      <c r="J5" s="115">
        <v>8.1999999999999993</v>
      </c>
      <c r="K5" s="115">
        <v>9.5</v>
      </c>
      <c r="L5" s="115">
        <v>13</v>
      </c>
      <c r="M5" s="115">
        <v>10.8</v>
      </c>
      <c r="N5" s="115">
        <v>12.1</v>
      </c>
      <c r="O5" s="116">
        <v>67</v>
      </c>
      <c r="P5" s="116">
        <v>91</v>
      </c>
      <c r="Q5" s="116">
        <v>23</v>
      </c>
      <c r="R5" s="116">
        <v>24</v>
      </c>
      <c r="S5" s="116">
        <v>50</v>
      </c>
      <c r="T5" s="116">
        <v>33</v>
      </c>
      <c r="U5" s="116">
        <v>83</v>
      </c>
      <c r="V5" s="116">
        <v>15</v>
      </c>
      <c r="W5" s="116">
        <v>6.7</v>
      </c>
      <c r="X5" s="116">
        <v>9</v>
      </c>
      <c r="Y5" s="128"/>
      <c r="Z5" s="128"/>
    </row>
    <row r="6" spans="1:26" x14ac:dyDescent="0.25">
      <c r="A6" s="117" t="s">
        <v>33</v>
      </c>
      <c r="B6" s="118" t="s">
        <v>25</v>
      </c>
      <c r="C6" s="119">
        <v>16</v>
      </c>
      <c r="D6" s="120">
        <v>53</v>
      </c>
      <c r="E6" s="121">
        <v>1.5</v>
      </c>
      <c r="F6" s="122">
        <v>1.2</v>
      </c>
      <c r="G6" s="123">
        <v>19</v>
      </c>
      <c r="H6" s="124">
        <v>2200</v>
      </c>
      <c r="I6" s="125">
        <v>5</v>
      </c>
      <c r="J6" s="125">
        <v>5.9</v>
      </c>
      <c r="K6" s="125">
        <v>7.8</v>
      </c>
      <c r="L6" s="125">
        <v>5</v>
      </c>
      <c r="M6" s="125">
        <v>6.7</v>
      </c>
      <c r="N6" s="125">
        <v>7.6</v>
      </c>
      <c r="O6" s="126">
        <v>73</v>
      </c>
      <c r="P6" s="126">
        <v>96</v>
      </c>
      <c r="Q6" s="126">
        <v>25</v>
      </c>
      <c r="R6" s="126">
        <v>26</v>
      </c>
      <c r="S6" s="126">
        <v>54</v>
      </c>
      <c r="T6" s="126">
        <v>34</v>
      </c>
      <c r="U6" s="126">
        <v>85</v>
      </c>
      <c r="V6" s="126">
        <v>15</v>
      </c>
      <c r="W6" s="126">
        <v>7.5</v>
      </c>
      <c r="X6" s="127">
        <v>8.8000000000000007</v>
      </c>
      <c r="Y6" s="128"/>
      <c r="Z6" s="128"/>
    </row>
    <row r="7" spans="1:26" x14ac:dyDescent="0.25">
      <c r="A7" s="104" t="s">
        <v>34</v>
      </c>
      <c r="B7" s="103" t="s">
        <v>12</v>
      </c>
      <c r="C7" s="11">
        <v>16</v>
      </c>
      <c r="D7" s="4">
        <v>60</v>
      </c>
      <c r="E7" s="6">
        <v>1.78</v>
      </c>
      <c r="F7" s="3">
        <v>1.5</v>
      </c>
      <c r="G7" s="5">
        <v>19</v>
      </c>
      <c r="H7" s="9">
        <v>2400</v>
      </c>
      <c r="I7" s="115">
        <v>3.5</v>
      </c>
      <c r="J7" s="115">
        <v>5.8</v>
      </c>
      <c r="K7" s="115">
        <v>6.5</v>
      </c>
      <c r="L7" s="115">
        <v>4</v>
      </c>
      <c r="M7" s="115">
        <v>5</v>
      </c>
      <c r="N7" s="115">
        <v>5</v>
      </c>
      <c r="O7" s="116">
        <v>80</v>
      </c>
      <c r="P7" s="116">
        <v>89</v>
      </c>
      <c r="Q7" s="116">
        <v>25</v>
      </c>
      <c r="R7" s="116">
        <v>27</v>
      </c>
      <c r="S7" s="116">
        <v>46</v>
      </c>
      <c r="T7" s="116">
        <v>36</v>
      </c>
      <c r="U7" s="116">
        <v>86</v>
      </c>
      <c r="V7" s="116">
        <v>16</v>
      </c>
      <c r="W7" s="116">
        <v>6.6</v>
      </c>
      <c r="X7" s="116">
        <v>8.8000000000000007</v>
      </c>
      <c r="Y7" s="128"/>
      <c r="Z7" s="128"/>
    </row>
    <row r="8" spans="1:26" x14ac:dyDescent="0.25">
      <c r="A8" s="117" t="s">
        <v>35</v>
      </c>
      <c r="B8" s="118" t="s">
        <v>12</v>
      </c>
      <c r="C8" s="119">
        <v>17</v>
      </c>
      <c r="D8" s="120">
        <v>61</v>
      </c>
      <c r="E8" s="121">
        <v>1.7</v>
      </c>
      <c r="F8" s="122">
        <v>1.3</v>
      </c>
      <c r="G8" s="123">
        <v>19</v>
      </c>
      <c r="H8" s="124">
        <v>2400</v>
      </c>
      <c r="I8" s="125">
        <v>5</v>
      </c>
      <c r="J8" s="125">
        <v>5</v>
      </c>
      <c r="K8" s="125">
        <v>6.3</v>
      </c>
      <c r="L8" s="125">
        <v>4.5</v>
      </c>
      <c r="M8" s="125">
        <v>5.6</v>
      </c>
      <c r="N8" s="125">
        <v>5</v>
      </c>
      <c r="O8" s="126">
        <v>79</v>
      </c>
      <c r="P8" s="126">
        <v>78</v>
      </c>
      <c r="Q8" s="126">
        <v>28</v>
      </c>
      <c r="R8" s="126">
        <v>30</v>
      </c>
      <c r="S8" s="126">
        <v>48</v>
      </c>
      <c r="T8" s="126">
        <v>37</v>
      </c>
      <c r="U8" s="126">
        <v>89</v>
      </c>
      <c r="V8" s="126">
        <v>17</v>
      </c>
      <c r="W8" s="126">
        <v>6.7</v>
      </c>
      <c r="X8" s="127">
        <v>8.9499999999999993</v>
      </c>
      <c r="Y8" s="128"/>
      <c r="Z8" s="128"/>
    </row>
    <row r="9" spans="1:26" x14ac:dyDescent="0.25">
      <c r="A9" s="104" t="s">
        <v>151</v>
      </c>
      <c r="B9" s="103" t="s">
        <v>12</v>
      </c>
      <c r="C9" s="11">
        <v>36</v>
      </c>
      <c r="D9" s="4">
        <v>86</v>
      </c>
      <c r="E9" s="6">
        <v>1.71</v>
      </c>
      <c r="F9" s="3">
        <v>1.4</v>
      </c>
      <c r="G9" s="5">
        <v>20</v>
      </c>
      <c r="H9" s="9">
        <v>3400</v>
      </c>
      <c r="I9" s="115">
        <v>2.75</v>
      </c>
      <c r="J9" s="115">
        <v>5</v>
      </c>
      <c r="K9" s="115">
        <v>9</v>
      </c>
      <c r="L9" s="115">
        <v>4</v>
      </c>
      <c r="M9" s="115">
        <v>6</v>
      </c>
      <c r="N9" s="115">
        <v>10</v>
      </c>
      <c r="O9" s="116">
        <v>82</v>
      </c>
      <c r="P9" s="116">
        <v>92</v>
      </c>
      <c r="Q9" s="116">
        <v>31</v>
      </c>
      <c r="R9" s="116">
        <v>30</v>
      </c>
      <c r="S9" s="116">
        <v>46</v>
      </c>
      <c r="T9" s="116">
        <v>35</v>
      </c>
      <c r="U9" s="116">
        <v>92</v>
      </c>
      <c r="V9" s="116">
        <v>18</v>
      </c>
      <c r="W9" s="116">
        <v>8</v>
      </c>
      <c r="X9" s="116">
        <v>10.5</v>
      </c>
      <c r="Y9" s="128"/>
      <c r="Z9" s="128"/>
    </row>
    <row r="10" spans="1:26" x14ac:dyDescent="0.25">
      <c r="A10" s="117" t="s">
        <v>112</v>
      </c>
      <c r="B10" s="118" t="s">
        <v>25</v>
      </c>
      <c r="C10" s="119">
        <v>23</v>
      </c>
      <c r="D10" s="120">
        <v>61</v>
      </c>
      <c r="E10" s="121">
        <v>1.7709999999999999</v>
      </c>
      <c r="F10" s="122">
        <v>1.5</v>
      </c>
      <c r="G10" s="123">
        <v>20</v>
      </c>
      <c r="H10" s="124">
        <v>1900</v>
      </c>
      <c r="I10" s="125">
        <v>5.8</v>
      </c>
      <c r="J10" s="125">
        <v>11.1</v>
      </c>
      <c r="K10" s="125">
        <v>11.6</v>
      </c>
      <c r="L10" s="125">
        <v>16</v>
      </c>
      <c r="M10" s="125">
        <v>12.6</v>
      </c>
      <c r="N10" s="125">
        <v>14.3</v>
      </c>
      <c r="O10" s="126">
        <v>69.8</v>
      </c>
      <c r="P10" s="126">
        <v>95.4</v>
      </c>
      <c r="Q10" s="126">
        <v>26.6</v>
      </c>
      <c r="R10" s="126">
        <v>28.6</v>
      </c>
      <c r="S10" s="126">
        <v>51.8</v>
      </c>
      <c r="T10" s="126">
        <v>36</v>
      </c>
      <c r="U10" s="126">
        <v>90.3</v>
      </c>
      <c r="V10" s="126">
        <v>15.8</v>
      </c>
      <c r="W10" s="126">
        <v>6.8</v>
      </c>
      <c r="X10" s="127">
        <v>9.4</v>
      </c>
      <c r="Y10" s="128"/>
      <c r="Z10" s="128"/>
    </row>
    <row r="11" spans="1:26" x14ac:dyDescent="0.25">
      <c r="A11" s="104" t="s">
        <v>116</v>
      </c>
      <c r="B11" s="103" t="s">
        <v>12</v>
      </c>
      <c r="C11" s="11">
        <v>19</v>
      </c>
      <c r="D11" s="4">
        <v>74.400000000000006</v>
      </c>
      <c r="E11" s="6">
        <v>1.7929999999999999</v>
      </c>
      <c r="F11" s="3">
        <v>1.4</v>
      </c>
      <c r="G11" s="5">
        <v>20</v>
      </c>
      <c r="H11" s="9">
        <v>1900</v>
      </c>
      <c r="I11" s="115">
        <v>3.2</v>
      </c>
      <c r="J11" s="115">
        <v>5.4</v>
      </c>
      <c r="K11" s="115">
        <v>7.2</v>
      </c>
      <c r="L11" s="115">
        <v>4.8</v>
      </c>
      <c r="M11" s="115">
        <v>6</v>
      </c>
      <c r="N11" s="115">
        <v>6.2</v>
      </c>
      <c r="O11" s="116">
        <v>75</v>
      </c>
      <c r="P11" s="116">
        <v>80</v>
      </c>
      <c r="Q11" s="116">
        <v>26</v>
      </c>
      <c r="R11" s="116">
        <v>31.2</v>
      </c>
      <c r="S11" s="116">
        <v>49</v>
      </c>
      <c r="T11" s="116">
        <v>37</v>
      </c>
      <c r="U11" s="116">
        <v>93</v>
      </c>
      <c r="V11" s="116">
        <v>16</v>
      </c>
      <c r="W11" s="116">
        <v>6.9</v>
      </c>
      <c r="X11" s="116">
        <v>9.6</v>
      </c>
      <c r="Y11" s="128"/>
      <c r="Z11" s="128"/>
    </row>
    <row r="12" spans="1:26" x14ac:dyDescent="0.25">
      <c r="P12" s="116"/>
      <c r="Q12" s="116"/>
      <c r="R12" s="116"/>
      <c r="S12" s="116"/>
      <c r="T12" s="116"/>
      <c r="U12" s="116"/>
      <c r="V12" s="116"/>
      <c r="W12" s="116"/>
      <c r="X12" s="116"/>
    </row>
    <row r="13" spans="1:26" x14ac:dyDescent="0.25">
      <c r="P13" s="116"/>
      <c r="Q13" s="116"/>
      <c r="R13" s="116"/>
      <c r="S13" s="116"/>
      <c r="T13" s="116"/>
      <c r="U13" s="116"/>
      <c r="V13" s="116"/>
      <c r="W13" s="116"/>
      <c r="X13" s="116"/>
    </row>
    <row r="14" spans="1:26" x14ac:dyDescent="0.25">
      <c r="P14" s="116"/>
      <c r="Q14" s="116"/>
      <c r="R14" s="116"/>
      <c r="S14" s="116"/>
      <c r="T14" s="116"/>
      <c r="U14" s="116"/>
      <c r="V14" s="116"/>
      <c r="W14" s="116"/>
      <c r="X14" s="116"/>
    </row>
    <row r="15" spans="1:26" x14ac:dyDescent="0.25">
      <c r="P15" s="116"/>
      <c r="Q15" s="116"/>
      <c r="R15" s="116"/>
      <c r="S15" s="116"/>
      <c r="T15" s="116"/>
      <c r="U15" s="116"/>
      <c r="V15" s="116"/>
      <c r="W15" s="116"/>
      <c r="X15" s="116"/>
    </row>
    <row r="16" spans="1:26" x14ac:dyDescent="0.25">
      <c r="P16" s="116"/>
      <c r="Q16" s="116"/>
      <c r="R16" s="116"/>
      <c r="S16" s="116"/>
      <c r="T16" s="116"/>
      <c r="U16" s="116"/>
      <c r="V16" s="116"/>
      <c r="W16" s="116"/>
      <c r="X16" s="116"/>
    </row>
    <row r="17" spans="16:24" x14ac:dyDescent="0.25">
      <c r="P17" s="116"/>
      <c r="Q17" s="116"/>
      <c r="R17" s="116"/>
      <c r="S17" s="116"/>
      <c r="T17" s="116"/>
      <c r="U17" s="116"/>
      <c r="V17" s="116"/>
      <c r="W17" s="116"/>
      <c r="X17" s="116"/>
    </row>
    <row r="18" spans="16:24" x14ac:dyDescent="0.25">
      <c r="P18" s="116"/>
      <c r="Q18" s="116"/>
      <c r="R18" s="116"/>
      <c r="S18" s="116"/>
      <c r="T18" s="116"/>
      <c r="U18" s="116"/>
      <c r="V18" s="116"/>
      <c r="W18" s="116"/>
      <c r="X18" s="116"/>
    </row>
    <row r="19" spans="16:24" x14ac:dyDescent="0.25">
      <c r="P19" s="116"/>
      <c r="Q19" s="116"/>
      <c r="R19" s="116"/>
      <c r="S19" s="116"/>
      <c r="T19" s="116"/>
      <c r="U19" s="116"/>
      <c r="V19" s="116"/>
      <c r="W19" s="116"/>
      <c r="X19" s="116"/>
    </row>
    <row r="20" spans="16:24" x14ac:dyDescent="0.25">
      <c r="P20" s="116"/>
      <c r="Q20" s="116"/>
      <c r="R20" s="116"/>
      <c r="S20" s="116"/>
      <c r="T20" s="116"/>
      <c r="U20" s="116"/>
      <c r="V20" s="116"/>
      <c r="W20" s="116"/>
      <c r="X20" s="116"/>
    </row>
    <row r="21" spans="16:24" x14ac:dyDescent="0.25">
      <c r="P21" s="116"/>
      <c r="Q21" s="116"/>
      <c r="R21" s="116"/>
      <c r="S21" s="116"/>
      <c r="T21" s="116"/>
      <c r="U21" s="116"/>
      <c r="V21" s="116"/>
      <c r="W21" s="116"/>
      <c r="X21" s="116"/>
    </row>
    <row r="22" spans="16:24" x14ac:dyDescent="0.25">
      <c r="P22" s="116"/>
      <c r="Q22" s="116"/>
      <c r="R22" s="116"/>
      <c r="S22" s="116"/>
      <c r="T22" s="116"/>
      <c r="U22" s="116"/>
      <c r="V22" s="116"/>
      <c r="W22" s="116"/>
      <c r="X22" s="116"/>
    </row>
    <row r="23" spans="16:24" x14ac:dyDescent="0.25">
      <c r="P23" s="116"/>
      <c r="Q23" s="116"/>
      <c r="R23" s="116"/>
      <c r="S23" s="116"/>
      <c r="T23" s="116"/>
      <c r="U23" s="116"/>
      <c r="V23" s="116"/>
      <c r="W23" s="116"/>
      <c r="X23" s="116"/>
    </row>
    <row r="24" spans="16:24" x14ac:dyDescent="0.25">
      <c r="P24" s="116"/>
      <c r="Q24" s="116"/>
      <c r="R24" s="116"/>
      <c r="S24" s="116"/>
      <c r="T24" s="116"/>
      <c r="U24" s="116"/>
      <c r="V24" s="116"/>
      <c r="W24" s="116"/>
      <c r="X24" s="116"/>
    </row>
    <row r="25" spans="16:24" x14ac:dyDescent="0.25">
      <c r="P25" s="116"/>
      <c r="Q25" s="116"/>
      <c r="R25" s="116"/>
      <c r="S25" s="116"/>
      <c r="T25" s="116"/>
      <c r="U25" s="116"/>
      <c r="V25" s="116"/>
      <c r="W25" s="116"/>
      <c r="X25" s="116"/>
    </row>
    <row r="26" spans="16:24" x14ac:dyDescent="0.25">
      <c r="P26" s="116"/>
      <c r="Q26" s="116"/>
      <c r="R26" s="116"/>
      <c r="S26" s="116"/>
      <c r="T26" s="116"/>
      <c r="U26" s="116"/>
      <c r="V26" s="116"/>
      <c r="W26" s="116"/>
      <c r="X26" s="116"/>
    </row>
    <row r="27" spans="16:24" x14ac:dyDescent="0.25">
      <c r="P27" s="116"/>
      <c r="Q27" s="116"/>
      <c r="R27" s="116"/>
      <c r="S27" s="116"/>
      <c r="T27" s="116"/>
      <c r="U27" s="116"/>
      <c r="V27" s="116"/>
      <c r="W27" s="116"/>
      <c r="X27" s="116"/>
    </row>
    <row r="28" spans="16:24" x14ac:dyDescent="0.25">
      <c r="P28" s="116"/>
      <c r="Q28" s="116"/>
      <c r="R28" s="116"/>
      <c r="S28" s="116"/>
      <c r="T28" s="116"/>
      <c r="U28" s="116"/>
      <c r="V28" s="116"/>
      <c r="W28" s="116"/>
      <c r="X28" s="116"/>
    </row>
    <row r="29" spans="16:24" x14ac:dyDescent="0.25">
      <c r="P29" s="116"/>
      <c r="Q29" s="116"/>
      <c r="R29" s="116"/>
      <c r="S29" s="116"/>
      <c r="T29" s="116"/>
      <c r="U29" s="116"/>
      <c r="V29" s="116"/>
      <c r="W29" s="116"/>
      <c r="X29" s="116"/>
    </row>
    <row r="30" spans="16:24" x14ac:dyDescent="0.25">
      <c r="P30" s="116"/>
      <c r="Q30" s="116"/>
      <c r="R30" s="116"/>
      <c r="S30" s="116"/>
      <c r="T30" s="116"/>
      <c r="U30" s="116"/>
      <c r="V30" s="116"/>
      <c r="W30" s="116"/>
      <c r="X30" s="116"/>
    </row>
    <row r="31" spans="16:24" x14ac:dyDescent="0.25">
      <c r="P31" s="116"/>
      <c r="Q31" s="116"/>
      <c r="R31" s="116"/>
      <c r="S31" s="116"/>
      <c r="T31" s="116"/>
      <c r="U31" s="116"/>
      <c r="V31" s="116"/>
      <c r="W31" s="116"/>
      <c r="X31" s="116"/>
    </row>
    <row r="32" spans="16:24" x14ac:dyDescent="0.25">
      <c r="P32" s="116"/>
      <c r="Q32" s="116"/>
      <c r="R32" s="116"/>
      <c r="S32" s="116"/>
      <c r="T32" s="116"/>
      <c r="U32" s="116"/>
      <c r="V32" s="116"/>
      <c r="W32" s="116"/>
      <c r="X32" s="116"/>
    </row>
    <row r="33" spans="16:24" x14ac:dyDescent="0.25">
      <c r="P33" s="116"/>
      <c r="Q33" s="116"/>
      <c r="R33" s="116"/>
      <c r="S33" s="116"/>
      <c r="T33" s="116"/>
      <c r="U33" s="116"/>
      <c r="V33" s="116"/>
      <c r="W33" s="116"/>
      <c r="X33" s="116"/>
    </row>
    <row r="34" spans="16:24" x14ac:dyDescent="0.25">
      <c r="P34" s="116"/>
      <c r="Q34" s="116"/>
      <c r="R34" s="116"/>
      <c r="S34" s="116"/>
      <c r="T34" s="116"/>
      <c r="U34" s="116"/>
      <c r="V34" s="116"/>
      <c r="W34" s="116"/>
      <c r="X34" s="116"/>
    </row>
    <row r="35" spans="16:24" x14ac:dyDescent="0.25">
      <c r="P35" s="116"/>
      <c r="Q35" s="116"/>
      <c r="R35" s="116"/>
      <c r="S35" s="116"/>
      <c r="T35" s="116"/>
      <c r="U35" s="116"/>
      <c r="V35" s="116"/>
      <c r="W35" s="116"/>
      <c r="X35" s="116"/>
    </row>
  </sheetData>
  <mergeCells count="2">
    <mergeCell ref="O1:X1"/>
    <mergeCell ref="I1:N1"/>
  </mergeCells>
  <pageMargins left="0.7" right="0.7" top="0.75" bottom="0.75" header="0.3" footer="0.3"/>
  <pageSetup paperSize="9" scale="30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0E399"/>
  </sheetPr>
  <dimension ref="A1:R33"/>
  <sheetViews>
    <sheetView showGridLines="0" topLeftCell="A19" zoomScale="130" zoomScaleNormal="130" workbookViewId="0">
      <selection activeCell="M26" sqref="M26"/>
    </sheetView>
  </sheetViews>
  <sheetFormatPr baseColWidth="10" defaultColWidth="11.42578125" defaultRowHeight="15" x14ac:dyDescent="0.25"/>
  <cols>
    <col min="2" max="2" width="19.7109375" customWidth="1"/>
    <col min="3" max="3" width="16" customWidth="1"/>
    <col min="5" max="5" width="15.140625" bestFit="1" customWidth="1"/>
    <col min="6" max="6" width="11.85546875" bestFit="1" customWidth="1"/>
    <col min="7" max="11" width="8.42578125" customWidth="1"/>
    <col min="14" max="14" width="14.85546875" customWidth="1"/>
    <col min="15" max="15" width="11.85546875" bestFit="1" customWidth="1"/>
  </cols>
  <sheetData>
    <row r="1" spans="1:18" x14ac:dyDescent="0.25">
      <c r="A1" s="21" t="s">
        <v>7</v>
      </c>
      <c r="B1" s="21" t="s">
        <v>12</v>
      </c>
      <c r="C1" s="21" t="s">
        <v>25</v>
      </c>
      <c r="E1" s="20" t="s">
        <v>47</v>
      </c>
      <c r="F1" s="21" t="s">
        <v>48</v>
      </c>
      <c r="I1" s="32" t="s">
        <v>152</v>
      </c>
      <c r="M1" s="29" t="s">
        <v>111</v>
      </c>
    </row>
    <row r="2" spans="1:18" x14ac:dyDescent="0.25">
      <c r="A2" s="16">
        <v>0</v>
      </c>
      <c r="B2" s="17">
        <f>60.9*peso+51</f>
        <v>5471.0999999999995</v>
      </c>
      <c r="C2" s="17">
        <f>61*peso+51</f>
        <v>5480</v>
      </c>
      <c r="E2" s="24" t="s">
        <v>49</v>
      </c>
      <c r="F2" s="18">
        <f>ROUND(Harris_Benedict,0)</f>
        <v>1944</v>
      </c>
      <c r="I2" s="23" t="s">
        <v>106</v>
      </c>
      <c r="J2" s="58">
        <v>19</v>
      </c>
      <c r="K2" s="58">
        <v>20</v>
      </c>
      <c r="L2" s="58">
        <v>30</v>
      </c>
      <c r="M2" s="58">
        <v>40</v>
      </c>
      <c r="N2" s="58">
        <v>50</v>
      </c>
    </row>
    <row r="3" spans="1:18" x14ac:dyDescent="0.25">
      <c r="A3" s="16">
        <v>3</v>
      </c>
      <c r="B3" s="17">
        <f>22.7*peso+495</f>
        <v>2515.3000000000002</v>
      </c>
      <c r="C3" s="17">
        <f>22.5*peso+499</f>
        <v>2501.5</v>
      </c>
      <c r="E3" s="24" t="s">
        <v>46</v>
      </c>
      <c r="F3" s="18">
        <f>ROUND(Katch_McArdle,0)</f>
        <v>1752</v>
      </c>
      <c r="I3" s="59" t="s">
        <v>104</v>
      </c>
      <c r="J3" s="60">
        <v>1.1549</v>
      </c>
      <c r="K3" s="60">
        <v>1.1598999999999999</v>
      </c>
      <c r="L3" s="60">
        <v>1.1423000000000001</v>
      </c>
      <c r="M3" s="60">
        <v>1.1333</v>
      </c>
      <c r="N3" s="60">
        <v>1.1338999999999999</v>
      </c>
    </row>
    <row r="4" spans="1:18" x14ac:dyDescent="0.25">
      <c r="A4" s="16">
        <v>10</v>
      </c>
      <c r="B4" s="17">
        <f>17.5*peso+651</f>
        <v>2208.5</v>
      </c>
      <c r="C4" s="17">
        <f>12.2*peso+746</f>
        <v>1831.8</v>
      </c>
      <c r="E4" s="24" t="s">
        <v>45</v>
      </c>
      <c r="F4" s="18">
        <f>ROUND(Miffin_St.Jeor,0)</f>
        <v>1833</v>
      </c>
      <c r="I4" s="59" t="s">
        <v>105</v>
      </c>
      <c r="J4" s="60">
        <v>6.7799999999999999E-2</v>
      </c>
      <c r="K4" s="60">
        <v>7.17E-2</v>
      </c>
      <c r="L4" s="60">
        <v>6.3200000000000006E-2</v>
      </c>
      <c r="M4" s="60">
        <v>6.1199999999999997E-2</v>
      </c>
      <c r="N4" s="60">
        <v>6.4500000000000002E-2</v>
      </c>
    </row>
    <row r="5" spans="1:18" x14ac:dyDescent="0.25">
      <c r="A5" s="16">
        <v>19</v>
      </c>
      <c r="B5" s="17">
        <f>15.3*peso+679</f>
        <v>2040.7</v>
      </c>
      <c r="C5" s="17">
        <f>14.7*peso+496</f>
        <v>1804.3</v>
      </c>
      <c r="E5" s="24" t="s">
        <v>30</v>
      </c>
      <c r="F5" s="18">
        <f>ROUND(OMS,0)</f>
        <v>1911</v>
      </c>
      <c r="I5" s="61" t="s">
        <v>104</v>
      </c>
      <c r="J5" s="62">
        <v>1.1619999999999999</v>
      </c>
      <c r="K5" s="62">
        <v>1.1631</v>
      </c>
      <c r="L5" s="62">
        <v>1.1422000000000001</v>
      </c>
      <c r="M5" s="62">
        <v>1.1619999999999999</v>
      </c>
      <c r="N5" s="62">
        <v>1.1715</v>
      </c>
    </row>
    <row r="6" spans="1:18" x14ac:dyDescent="0.25">
      <c r="A6" s="16">
        <v>31</v>
      </c>
      <c r="B6" s="17">
        <f>11.6*peso+879</f>
        <v>1911.3999999999999</v>
      </c>
      <c r="C6" s="17">
        <f>8.7*peso+829</f>
        <v>1603.3</v>
      </c>
      <c r="I6" s="61" t="s">
        <v>105</v>
      </c>
      <c r="J6" s="62">
        <v>6.3E-2</v>
      </c>
      <c r="K6" s="62">
        <v>6.3200000000000006E-2</v>
      </c>
      <c r="L6" s="62">
        <v>5.4399999999999997E-2</v>
      </c>
      <c r="M6" s="62">
        <v>7.0000000000000007E-2</v>
      </c>
      <c r="N6" s="62">
        <v>0.77900000000000003</v>
      </c>
    </row>
    <row r="7" spans="1:18" x14ac:dyDescent="0.25">
      <c r="A7" s="16">
        <v>60</v>
      </c>
      <c r="B7" s="17">
        <f>13.5*peso+487</f>
        <v>1688.5</v>
      </c>
      <c r="C7" s="17">
        <f>10.5*peso+596</f>
        <v>1530.5</v>
      </c>
    </row>
    <row r="8" spans="1:18" x14ac:dyDescent="0.25">
      <c r="L8" s="217" t="s">
        <v>130</v>
      </c>
      <c r="M8" s="218"/>
      <c r="N8" s="76" t="s">
        <v>131</v>
      </c>
      <c r="O8" s="76" t="s">
        <v>78</v>
      </c>
      <c r="P8" s="77" t="s">
        <v>79</v>
      </c>
      <c r="Q8" s="78" t="s">
        <v>80</v>
      </c>
    </row>
    <row r="9" spans="1:18" x14ac:dyDescent="0.25">
      <c r="L9" s="79" t="s">
        <v>21</v>
      </c>
      <c r="M9" s="79" t="s">
        <v>129</v>
      </c>
      <c r="N9" s="79" t="s">
        <v>124</v>
      </c>
      <c r="O9" s="214" t="s">
        <v>140</v>
      </c>
      <c r="P9" s="215"/>
      <c r="Q9" s="216"/>
    </row>
    <row r="10" spans="1:18" x14ac:dyDescent="0.25">
      <c r="L10" s="79">
        <v>0</v>
      </c>
      <c r="M10" s="79">
        <v>1</v>
      </c>
      <c r="N10" s="79" t="s">
        <v>204</v>
      </c>
      <c r="O10" s="105" t="s">
        <v>205</v>
      </c>
      <c r="P10" s="105" t="s">
        <v>205</v>
      </c>
      <c r="Q10" s="105" t="s">
        <v>205</v>
      </c>
    </row>
    <row r="11" spans="1:18" x14ac:dyDescent="0.25">
      <c r="L11" s="80">
        <v>1</v>
      </c>
      <c r="M11" s="80">
        <v>2.5</v>
      </c>
      <c r="N11" s="75" t="s">
        <v>125</v>
      </c>
      <c r="O11" s="75" t="s">
        <v>132</v>
      </c>
      <c r="P11" s="75" t="s">
        <v>150</v>
      </c>
      <c r="Q11" s="75" t="s">
        <v>138</v>
      </c>
      <c r="R11" s="81">
        <v>0</v>
      </c>
    </row>
    <row r="12" spans="1:18" x14ac:dyDescent="0.25">
      <c r="A12" t="s">
        <v>28</v>
      </c>
      <c r="L12" s="80">
        <v>2.5</v>
      </c>
      <c r="M12" s="80">
        <v>5</v>
      </c>
      <c r="N12" s="75" t="s">
        <v>126</v>
      </c>
      <c r="O12" s="75" t="s">
        <v>133</v>
      </c>
      <c r="P12" s="75" t="s">
        <v>149</v>
      </c>
      <c r="Q12" s="75" t="s">
        <v>137</v>
      </c>
      <c r="R12" s="81">
        <v>0</v>
      </c>
    </row>
    <row r="13" spans="1:18" x14ac:dyDescent="0.25">
      <c r="A13" s="2"/>
      <c r="B13" t="s">
        <v>24</v>
      </c>
      <c r="L13" s="80">
        <v>5.5</v>
      </c>
      <c r="M13" s="80">
        <v>7</v>
      </c>
      <c r="N13" s="75" t="s">
        <v>127</v>
      </c>
      <c r="O13" s="75" t="s">
        <v>134</v>
      </c>
      <c r="P13" s="75" t="s">
        <v>148</v>
      </c>
      <c r="Q13" s="75" t="s">
        <v>139</v>
      </c>
      <c r="R13" s="81">
        <v>0</v>
      </c>
    </row>
    <row r="14" spans="1:18" x14ac:dyDescent="0.25">
      <c r="A14" s="20" t="s">
        <v>21</v>
      </c>
      <c r="B14" s="18">
        <v>18</v>
      </c>
      <c r="C14" s="19">
        <v>0.36</v>
      </c>
      <c r="D14" s="18">
        <v>18</v>
      </c>
      <c r="E14" s="18">
        <f>D14/$D$19</f>
        <v>0.36</v>
      </c>
      <c r="L14" s="80">
        <v>7.5</v>
      </c>
      <c r="M14" s="80">
        <v>8.5</v>
      </c>
      <c r="N14" s="75" t="s">
        <v>128</v>
      </c>
      <c r="O14" s="75" t="s">
        <v>135</v>
      </c>
      <c r="P14" s="75" t="s">
        <v>136</v>
      </c>
      <c r="Q14" s="75" t="s">
        <v>141</v>
      </c>
      <c r="R14" s="81">
        <v>0</v>
      </c>
    </row>
    <row r="15" spans="1:18" x14ac:dyDescent="0.25">
      <c r="A15" s="20" t="s">
        <v>22</v>
      </c>
      <c r="B15" s="18">
        <v>25</v>
      </c>
      <c r="C15" s="19">
        <v>0.14000000000000001</v>
      </c>
      <c r="D15" s="18">
        <v>7</v>
      </c>
      <c r="E15" s="18">
        <f>D15/$D$19</f>
        <v>0.14000000000000001</v>
      </c>
      <c r="I15" t="str">
        <f>genero</f>
        <v>Hombre</v>
      </c>
    </row>
    <row r="16" spans="1:18" x14ac:dyDescent="0.25">
      <c r="A16" s="20" t="s">
        <v>20</v>
      </c>
      <c r="B16" s="18">
        <v>30</v>
      </c>
      <c r="C16" s="19">
        <v>0.1</v>
      </c>
      <c r="D16" s="18">
        <v>5</v>
      </c>
      <c r="E16" s="18">
        <f>D16/$D$19</f>
        <v>0.1</v>
      </c>
      <c r="I16">
        <f>edad</f>
        <v>35</v>
      </c>
    </row>
    <row r="17" spans="1:15" x14ac:dyDescent="0.25">
      <c r="A17" s="20" t="s">
        <v>23</v>
      </c>
      <c r="B17" s="18">
        <v>35</v>
      </c>
      <c r="C17" s="19">
        <v>0.2</v>
      </c>
      <c r="D17" s="18">
        <v>10</v>
      </c>
      <c r="E17" s="18">
        <f>D17/$D$19</f>
        <v>0.2</v>
      </c>
      <c r="I17">
        <f>IF(genero="Hombre",HLOOKUP(edad,tablaDurnin,4,1),HLOOKUP(edad,tablaDurnin,2,1))-IF(genero="Hombre",HLOOKUP(edad,tablaDurnin,5,1),HLOOKUP(edad,tablaDurnin,3,1))*LOG10('Grasa-Musculo'!$G$12+'Grasa-Musculo'!$G$14+'Grasa-Musculo'!$G$15+'Grasa-Musculo'!$G$16)</f>
        <v>1.050253333246449</v>
      </c>
    </row>
    <row r="18" spans="1:15" x14ac:dyDescent="0.25">
      <c r="A18" s="20" t="s">
        <v>26</v>
      </c>
      <c r="B18" s="18">
        <v>40</v>
      </c>
      <c r="C18" s="18">
        <v>0.2</v>
      </c>
      <c r="D18" s="18">
        <v>10</v>
      </c>
      <c r="E18" s="18">
        <f>D18/$D$19</f>
        <v>0.2</v>
      </c>
    </row>
    <row r="19" spans="1:15" x14ac:dyDescent="0.25">
      <c r="A19" s="20"/>
      <c r="B19" s="18">
        <v>50</v>
      </c>
      <c r="C19" s="18"/>
      <c r="D19" s="18">
        <f>SUM(D14:D18)</f>
        <v>50</v>
      </c>
      <c r="E19" s="18"/>
      <c r="O19" s="26"/>
    </row>
    <row r="22" spans="1:15" x14ac:dyDescent="0.25">
      <c r="B22" s="131"/>
    </row>
    <row r="23" spans="1:15" x14ac:dyDescent="0.25">
      <c r="B23" s="130"/>
      <c r="F23" s="98" t="s">
        <v>177</v>
      </c>
      <c r="G23" s="99">
        <v>10</v>
      </c>
      <c r="H23" s="99">
        <v>18</v>
      </c>
      <c r="I23" s="99">
        <v>25</v>
      </c>
      <c r="J23" s="99">
        <v>30</v>
      </c>
      <c r="K23" s="99">
        <v>40</v>
      </c>
    </row>
    <row r="24" spans="1:15" ht="51.75" customHeight="1" x14ac:dyDescent="0.25">
      <c r="A24" s="22"/>
      <c r="F24" s="18"/>
      <c r="G24" s="100" t="s">
        <v>19</v>
      </c>
      <c r="H24" s="100" t="s">
        <v>22</v>
      </c>
      <c r="I24" s="100" t="s">
        <v>40</v>
      </c>
      <c r="J24" s="100" t="s">
        <v>23</v>
      </c>
      <c r="K24" s="100" t="s">
        <v>26</v>
      </c>
    </row>
    <row r="25" spans="1:15" ht="114" customHeight="1" x14ac:dyDescent="0.25">
      <c r="A25" s="22"/>
      <c r="F25" s="23" t="s">
        <v>25</v>
      </c>
      <c r="G25" s="18"/>
      <c r="H25" s="18"/>
      <c r="I25" s="18"/>
      <c r="J25" s="18"/>
      <c r="K25" s="18"/>
    </row>
    <row r="26" spans="1:15" ht="114" customHeight="1" x14ac:dyDescent="0.25">
      <c r="A26" s="22"/>
      <c r="F26" s="23" t="s">
        <v>12</v>
      </c>
      <c r="G26" s="18"/>
      <c r="H26" s="18"/>
      <c r="I26" s="18"/>
      <c r="J26" s="18"/>
      <c r="K26" s="18"/>
    </row>
    <row r="28" spans="1:15" x14ac:dyDescent="0.25">
      <c r="F28" s="32" t="s">
        <v>43</v>
      </c>
    </row>
    <row r="29" spans="1:15" x14ac:dyDescent="0.25">
      <c r="F29" s="95" t="s">
        <v>44</v>
      </c>
    </row>
    <row r="32" spans="1:15" ht="16.5" x14ac:dyDescent="0.3">
      <c r="M32" s="14"/>
    </row>
    <row r="33" spans="2:12" ht="16.5" x14ac:dyDescent="0.3">
      <c r="B33" s="14" t="s">
        <v>29</v>
      </c>
      <c r="C33" s="14"/>
      <c r="D33" s="14"/>
      <c r="E33" s="14"/>
      <c r="F33" s="14"/>
      <c r="G33" s="14"/>
      <c r="H33" s="14"/>
      <c r="I33" s="14"/>
      <c r="J33" s="14"/>
      <c r="K33" s="14"/>
      <c r="L33" s="14"/>
    </row>
  </sheetData>
  <mergeCells count="2">
    <mergeCell ref="O9:Q9"/>
    <mergeCell ref="L8:M8"/>
  </mergeCells>
  <phoneticPr fontId="58" type="noConversion"/>
  <pageMargins left="0.7" right="0.7" top="0.75" bottom="0.75" header="0.3" footer="0.3"/>
  <pageSetup paperSize="9" scale="3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26</vt:i4>
      </vt:variant>
    </vt:vector>
  </HeadingPairs>
  <TitlesOfParts>
    <vt:vector size="33" baseType="lpstr">
      <vt:lpstr>Problema</vt:lpstr>
      <vt:lpstr>Información</vt:lpstr>
      <vt:lpstr>Plantilla</vt:lpstr>
      <vt:lpstr>Somatotipo</vt:lpstr>
      <vt:lpstr>Grasa-Musculo</vt:lpstr>
      <vt:lpstr>Personas</vt:lpstr>
      <vt:lpstr>Tablas</vt:lpstr>
      <vt:lpstr>altura</vt:lpstr>
      <vt:lpstr>'Grasa-Musculo'!Área_de_impresión</vt:lpstr>
      <vt:lpstr>Plantilla!Área_de_impresión</vt:lpstr>
      <vt:lpstr>dia</vt:lpstr>
      <vt:lpstr>edad</vt:lpstr>
      <vt:lpstr>ejercicio</vt:lpstr>
      <vt:lpstr>Energía</vt:lpstr>
      <vt:lpstr>estado</vt:lpstr>
      <vt:lpstr>genero</vt:lpstr>
      <vt:lpstr>imagenes</vt:lpstr>
      <vt:lpstr>imcDeseado</vt:lpstr>
      <vt:lpstr>imcReal</vt:lpstr>
      <vt:lpstr>ingesta</vt:lpstr>
      <vt:lpstr>masaGrasa</vt:lpstr>
      <vt:lpstr>masaMagra</vt:lpstr>
      <vt:lpstr>mes</vt:lpstr>
      <vt:lpstr>Persona</vt:lpstr>
      <vt:lpstr>peso</vt:lpstr>
      <vt:lpstr>pesoIdeal</vt:lpstr>
      <vt:lpstr>Pesona</vt:lpstr>
      <vt:lpstr>semana</vt:lpstr>
      <vt:lpstr>tablaDurnin</vt:lpstr>
      <vt:lpstr>tablaOMS</vt:lpstr>
      <vt:lpstr>tablaTMB</vt:lpstr>
      <vt:lpstr>tipo</vt:lpstr>
      <vt:lpstr>tmb</vt:lpstr>
    </vt:vector>
  </TitlesOfParts>
  <Company>PArticular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</dc:creator>
  <cp:lastModifiedBy>Samuel Rodriguez</cp:lastModifiedBy>
  <cp:lastPrinted>2020-04-27T02:05:39Z</cp:lastPrinted>
  <dcterms:created xsi:type="dcterms:W3CDTF">2010-04-18T20:26:26Z</dcterms:created>
  <dcterms:modified xsi:type="dcterms:W3CDTF">2023-11-10T19:47:07Z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2023-05-02T15:24:44Z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b9b592b9-0afd-49b4-ba48-f1fed181b6a8</vt:lpwstr>
  </property>
  <property fmtid="{D5CDD505-2E9C-101B-9397-08002B2CF9AE}" pid="7" name="MSIP_Label_defa4170-0d19-0005-0004-bc88714345d2_ActionId">
    <vt:lpwstr>dcb8e7f2-1e5f-45af-aab2-648141cbf980</vt:lpwstr>
  </property>
  <property fmtid="{D5CDD505-2E9C-101B-9397-08002B2CF9AE}" pid="8" name="MSIP_Label_defa4170-0d19-0005-0004-bc88714345d2_ContentBits">
    <vt:lpwstr>0</vt:lpwstr>
  </property>
</Properties>
</file>